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ken43\Documents\"/>
    </mc:Choice>
  </mc:AlternateContent>
  <xr:revisionPtr revIDLastSave="0" documentId="13_ncr:1_{E0B1A2D1-5523-4869-9B5B-40BE9652B79C}" xr6:coauthVersionLast="47" xr6:coauthVersionMax="47" xr10:uidLastSave="{00000000-0000-0000-0000-000000000000}"/>
  <bookViews>
    <workbookView xWindow="-120" yWindow="-120" windowWidth="29040" windowHeight="15840" tabRatio="597" activeTab="1" xr2:uid="{494E8BD5-466E-433C-97F7-7DCA7073A338}"/>
    <workbookView xWindow="14385" yWindow="-15" windowWidth="14430" windowHeight="15630" activeTab="2" xr2:uid="{3675FA89-026E-4AB8-8AA4-9B3E5DE6B497}"/>
  </bookViews>
  <sheets>
    <sheet name="pH" sheetId="1" r:id="rId1"/>
    <sheet name="LSC data" sheetId="4" r:id="rId2"/>
    <sheet name="LSC raw data" sheetId="2" r:id="rId3"/>
    <sheet name="LSC + pH combined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4" i="4" l="1"/>
  <c r="L43" i="4"/>
  <c r="L42" i="4"/>
  <c r="L35" i="4"/>
  <c r="L36" i="4"/>
  <c r="L37" i="4"/>
  <c r="L38" i="4"/>
  <c r="L39" i="4"/>
  <c r="L40" i="4"/>
  <c r="L34" i="4"/>
  <c r="L31" i="4"/>
  <c r="L30" i="4"/>
  <c r="L73" i="4"/>
  <c r="K73" i="4"/>
  <c r="K57" i="4"/>
  <c r="L18" i="4"/>
  <c r="I31" i="4"/>
  <c r="I32" i="4"/>
  <c r="I33" i="4"/>
  <c r="I34" i="4"/>
  <c r="I35" i="4"/>
  <c r="I36" i="4"/>
  <c r="I37" i="4"/>
  <c r="I38" i="4"/>
  <c r="J38" i="4" s="1"/>
  <c r="I39" i="4"/>
  <c r="I40" i="4"/>
  <c r="J40" i="4" s="1"/>
  <c r="I41" i="4"/>
  <c r="I42" i="4"/>
  <c r="I43" i="4"/>
  <c r="I44" i="4"/>
  <c r="I45" i="4"/>
  <c r="I46" i="4"/>
  <c r="J46" i="4" s="1"/>
  <c r="I47" i="4"/>
  <c r="I48" i="4"/>
  <c r="J48" i="4" s="1"/>
  <c r="I49" i="4"/>
  <c r="I50" i="4"/>
  <c r="L49" i="4" s="1"/>
  <c r="I51" i="4"/>
  <c r="I52" i="4"/>
  <c r="I53" i="4"/>
  <c r="I54" i="4"/>
  <c r="J54" i="4" s="1"/>
  <c r="I55" i="4"/>
  <c r="I56" i="4"/>
  <c r="J56" i="4" s="1"/>
  <c r="I30" i="4"/>
  <c r="L7" i="4"/>
  <c r="L70" i="4"/>
  <c r="L71" i="4"/>
  <c r="L72" i="4"/>
  <c r="L69" i="4"/>
  <c r="K70" i="4"/>
  <c r="K71" i="4"/>
  <c r="K72" i="4"/>
  <c r="K69" i="4"/>
  <c r="J70" i="4"/>
  <c r="J71" i="4"/>
  <c r="J72" i="4"/>
  <c r="J69" i="4"/>
  <c r="I70" i="4"/>
  <c r="I71" i="4"/>
  <c r="I72" i="4"/>
  <c r="H70" i="4"/>
  <c r="H71" i="4"/>
  <c r="H72" i="4"/>
  <c r="I69" i="4"/>
  <c r="H69" i="4"/>
  <c r="L46" i="4"/>
  <c r="L48" i="4"/>
  <c r="L50" i="4"/>
  <c r="L51" i="4"/>
  <c r="L52" i="4"/>
  <c r="L54" i="4"/>
  <c r="L56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30" i="4"/>
  <c r="J31" i="4"/>
  <c r="J33" i="4"/>
  <c r="J34" i="4"/>
  <c r="J35" i="4"/>
  <c r="J36" i="4"/>
  <c r="J37" i="4"/>
  <c r="J39" i="4"/>
  <c r="J41" i="4"/>
  <c r="J42" i="4"/>
  <c r="J43" i="4"/>
  <c r="J44" i="4"/>
  <c r="J45" i="4"/>
  <c r="J47" i="4"/>
  <c r="J49" i="4"/>
  <c r="J50" i="4"/>
  <c r="J51" i="4"/>
  <c r="J52" i="4"/>
  <c r="J53" i="4"/>
  <c r="J55" i="4"/>
  <c r="J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30" i="4"/>
  <c r="K18" i="4"/>
  <c r="L8" i="4"/>
  <c r="K10" i="4"/>
  <c r="L10" i="4"/>
  <c r="L11" i="4"/>
  <c r="L12" i="4"/>
  <c r="L13" i="4"/>
  <c r="L14" i="4"/>
  <c r="L15" i="4"/>
  <c r="L16" i="4"/>
  <c r="L17" i="4"/>
  <c r="L9" i="4"/>
  <c r="I22" i="4"/>
  <c r="H22" i="4"/>
  <c r="J19" i="4"/>
  <c r="K8" i="4"/>
  <c r="K9" i="4"/>
  <c r="K11" i="4"/>
  <c r="K12" i="4"/>
  <c r="K13" i="4"/>
  <c r="K14" i="4"/>
  <c r="K15" i="4"/>
  <c r="K16" i="4"/>
  <c r="K17" i="4"/>
  <c r="K7" i="4"/>
  <c r="J8" i="4"/>
  <c r="J9" i="4"/>
  <c r="J10" i="4"/>
  <c r="J11" i="4"/>
  <c r="J12" i="4"/>
  <c r="J13" i="4"/>
  <c r="J14" i="4"/>
  <c r="J15" i="4"/>
  <c r="J16" i="4"/>
  <c r="J17" i="4"/>
  <c r="J7" i="4"/>
  <c r="I8" i="4"/>
  <c r="I9" i="4"/>
  <c r="I10" i="4"/>
  <c r="I11" i="4"/>
  <c r="I12" i="4"/>
  <c r="I13" i="4"/>
  <c r="I14" i="4"/>
  <c r="I15" i="4"/>
  <c r="I16" i="4"/>
  <c r="I17" i="4"/>
  <c r="I7" i="4"/>
  <c r="H8" i="4"/>
  <c r="H9" i="4"/>
  <c r="H10" i="4"/>
  <c r="H11" i="4"/>
  <c r="H12" i="4"/>
  <c r="H13" i="4"/>
  <c r="H14" i="4"/>
  <c r="H15" i="4"/>
  <c r="H16" i="4"/>
  <c r="H17" i="4"/>
  <c r="H7" i="4"/>
  <c r="D5" i="4"/>
  <c r="C5" i="4"/>
  <c r="B5" i="4"/>
  <c r="A5" i="4"/>
  <c r="L57" i="4" l="1"/>
  <c r="L55" i="4"/>
  <c r="L47" i="4"/>
  <c r="J32" i="4"/>
  <c r="L53" i="4"/>
  <c r="L45" i="4"/>
  <c r="K19" i="2" l="1"/>
  <c r="J19" i="2"/>
  <c r="I19" i="2"/>
  <c r="H19" i="2"/>
  <c r="G30" i="1"/>
  <c r="G2" i="1"/>
  <c r="I14" i="1" s="1"/>
  <c r="H16" i="1"/>
  <c r="I6" i="1"/>
  <c r="J6" i="1" s="1"/>
  <c r="F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12" i="1"/>
  <c r="H17" i="1" s="1"/>
  <c r="B8" i="1"/>
  <c r="L6" i="1" s="1"/>
  <c r="B7" i="1"/>
  <c r="B6" i="1"/>
  <c r="I29" i="1" l="1"/>
  <c r="I28" i="1"/>
  <c r="I21" i="1"/>
  <c r="I18" i="1"/>
  <c r="I17" i="1"/>
  <c r="I30" i="1"/>
  <c r="H12" i="1"/>
  <c r="I27" i="1"/>
  <c r="I13" i="1"/>
  <c r="H24" i="1"/>
  <c r="I26" i="1"/>
  <c r="H23" i="1"/>
  <c r="I25" i="1"/>
  <c r="H30" i="1"/>
  <c r="J30" i="1" s="1"/>
  <c r="H15" i="1"/>
  <c r="I20" i="1"/>
  <c r="I19" i="1"/>
  <c r="H31" i="1"/>
  <c r="H22" i="1"/>
  <c r="H14" i="1"/>
  <c r="J14" i="1" s="1"/>
  <c r="H29" i="1"/>
  <c r="J17" i="1"/>
  <c r="H21" i="1"/>
  <c r="J21" i="1" s="1"/>
  <c r="H13" i="1"/>
  <c r="H28" i="1"/>
  <c r="J28" i="1" s="1"/>
  <c r="H27" i="1"/>
  <c r="H19" i="1"/>
  <c r="I24" i="1"/>
  <c r="I16" i="1"/>
  <c r="J16" i="1" s="1"/>
  <c r="H26" i="1"/>
  <c r="J26" i="1" s="1"/>
  <c r="H18" i="1"/>
  <c r="J18" i="1" s="1"/>
  <c r="I12" i="1"/>
  <c r="I23" i="1"/>
  <c r="J23" i="1" s="1"/>
  <c r="I15" i="1"/>
  <c r="J15" i="1" s="1"/>
  <c r="H20" i="1"/>
  <c r="H25" i="1"/>
  <c r="I31" i="1"/>
  <c r="I22" i="1"/>
  <c r="J22" i="1" s="1"/>
  <c r="D2" i="1"/>
  <c r="J29" i="1" l="1"/>
  <c r="J20" i="1"/>
  <c r="J19" i="1"/>
  <c r="J27" i="1"/>
  <c r="J25" i="1"/>
  <c r="J24" i="1"/>
  <c r="J12" i="1"/>
  <c r="I32" i="1"/>
  <c r="H32" i="1"/>
  <c r="J31" i="1"/>
  <c r="J13" i="1"/>
  <c r="J32" i="1" s="1"/>
</calcChain>
</file>

<file path=xl/sharedStrings.xml><?xml version="1.0" encoding="utf-8"?>
<sst xmlns="http://schemas.openxmlformats.org/spreadsheetml/2006/main" count="289" uniqueCount="174">
  <si>
    <t>pH</t>
  </si>
  <si>
    <t>V (mL)</t>
  </si>
  <si>
    <t>[Tc] M</t>
  </si>
  <si>
    <t>Number of 
samples</t>
  </si>
  <si>
    <t>Activity</t>
  </si>
  <si>
    <t>[solid] g/L</t>
  </si>
  <si>
    <t>[NaCl], M</t>
  </si>
  <si>
    <t>m(NaCl), g</t>
  </si>
  <si>
    <t>Chemical name</t>
  </si>
  <si>
    <t>MW, g/mol</t>
  </si>
  <si>
    <t>Solution name</t>
  </si>
  <si>
    <t>M stock</t>
  </si>
  <si>
    <t>Unit</t>
  </si>
  <si>
    <t>Na2CO3</t>
  </si>
  <si>
    <t>Tc</t>
  </si>
  <si>
    <t>M</t>
  </si>
  <si>
    <t>NaHCO3</t>
  </si>
  <si>
    <t>FeCO3</t>
  </si>
  <si>
    <t>g/L</t>
  </si>
  <si>
    <t>NaCl</t>
  </si>
  <si>
    <t>V, mL</t>
  </si>
  <si>
    <t>Sample</t>
  </si>
  <si>
    <t>[Tc], M</t>
  </si>
  <si>
    <t># of sample</t>
  </si>
  <si>
    <t>Total, mL</t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</si>
  <si>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>stock</t>
    </r>
    <r>
      <rPr>
        <b/>
        <sz val="11"/>
        <color theme="1"/>
        <rFont val="Aptos Narrow"/>
        <family val="2"/>
        <scheme val="minor"/>
      </rPr>
      <t>, mL</t>
    </r>
  </si>
  <si>
    <r>
      <t>M</t>
    </r>
    <r>
      <rPr>
        <b/>
        <vertAlign val="subscript"/>
        <sz val="11"/>
        <color theme="1"/>
        <rFont val="Aptos Narrow"/>
        <family val="2"/>
        <scheme val="minor"/>
      </rPr>
      <t>desired</t>
    </r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</si>
  <si>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 xml:space="preserve">desired, </t>
    </r>
    <r>
      <rPr>
        <b/>
        <sz val="11"/>
        <color theme="1"/>
        <rFont val="Aptos Narrow"/>
        <family val="2"/>
        <scheme val="minor"/>
      </rPr>
      <t>mL</t>
    </r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</si>
  <si>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>stock to take</t>
    </r>
    <r>
      <rPr>
        <b/>
        <sz val="11"/>
        <color theme="1"/>
        <rFont val="Aptos Narrow"/>
        <family val="2"/>
        <scheme val="minor"/>
      </rPr>
      <t>, μL</t>
    </r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</si>
  <si>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>NaCl to add</t>
    </r>
    <r>
      <rPr>
        <b/>
        <sz val="11"/>
        <color theme="1"/>
        <rFont val="Aptos Narrow"/>
        <family val="2"/>
        <scheme val="minor"/>
      </rPr>
      <t>, mL</t>
    </r>
  </si>
  <si>
    <r>
      <t>[Tc]</t>
    </r>
    <r>
      <rPr>
        <b/>
        <vertAlign val="subscript"/>
        <sz val="11"/>
        <color theme="1"/>
        <rFont val="Aptos Narrow"/>
        <family val="2"/>
        <scheme val="minor"/>
      </rPr>
      <t xml:space="preserve">stock, </t>
    </r>
    <r>
      <rPr>
        <b/>
        <sz val="10"/>
        <color theme="1"/>
        <rFont val="Aptos Narrow"/>
        <family val="2"/>
        <scheme val="minor"/>
      </rPr>
      <t>mL</t>
    </r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</si>
  <si>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>siderite</t>
    </r>
    <r>
      <rPr>
        <b/>
        <sz val="11"/>
        <color theme="1"/>
        <rFont val="Aptos Narrow"/>
        <family val="2"/>
        <scheme val="minor"/>
      </rPr>
      <t>, μL</t>
    </r>
  </si>
  <si>
    <r>
      <t>V</t>
    </r>
    <r>
      <rPr>
        <b/>
        <vertAlign val="subscript"/>
        <sz val="11"/>
        <color theme="1"/>
        <rFont val="Aptos Narrow"/>
        <family val="2"/>
        <scheme val="minor"/>
      </rPr>
      <t>NaCl</t>
    </r>
    <r>
      <rPr>
        <b/>
        <sz val="11"/>
        <color theme="1"/>
        <rFont val="Aptos Narrow"/>
        <family val="2"/>
        <scheme val="minor"/>
      </rPr>
      <t xml:space="preserve"> mL</t>
    </r>
  </si>
  <si>
    <t>NaCl stock</t>
  </si>
  <si>
    <t>m(NaCl], g</t>
  </si>
  <si>
    <t>V(NaCl), mL</t>
  </si>
  <si>
    <t>Tc 1E-4M stock in 0.1 M NaCl</t>
  </si>
  <si>
    <t>Things to prepare</t>
  </si>
  <si>
    <t>✔ 10 mL tube</t>
  </si>
  <si>
    <t>✔ 100 mL flask</t>
  </si>
  <si>
    <t>✔ weigh NaCl</t>
  </si>
  <si>
    <t>✔ 20 x 5 mL eppies</t>
  </si>
  <si>
    <r>
      <t>FeCO3</t>
    </r>
    <r>
      <rPr>
        <b/>
        <vertAlign val="subscript"/>
        <sz val="11"/>
        <color theme="1"/>
        <rFont val="Aptos Narrow"/>
        <family val="2"/>
        <scheme val="minor"/>
      </rPr>
      <t>from stock</t>
    </r>
    <r>
      <rPr>
        <b/>
        <sz val="11"/>
        <color theme="1"/>
        <rFont val="Aptos Narrow"/>
        <family val="2"/>
        <scheme val="minor"/>
      </rPr>
      <t>, mL</t>
    </r>
  </si>
  <si>
    <r>
      <t>pH</t>
    </r>
    <r>
      <rPr>
        <b/>
        <vertAlign val="subscript"/>
        <sz val="11"/>
        <color theme="1"/>
        <rFont val="Aptos Narrow"/>
        <family val="2"/>
        <scheme val="minor"/>
      </rPr>
      <t xml:space="preserve"> measured</t>
    </r>
  </si>
  <si>
    <t>3a</t>
  </si>
  <si>
    <t>3b</t>
  </si>
  <si>
    <t>4b</t>
  </si>
  <si>
    <t>5b</t>
  </si>
  <si>
    <t>6b</t>
  </si>
  <si>
    <t>7b</t>
  </si>
  <si>
    <t>8b</t>
  </si>
  <si>
    <t>9b</t>
  </si>
  <si>
    <t>10b</t>
  </si>
  <si>
    <t>11b</t>
  </si>
  <si>
    <t>12b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</si>
  <si>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</si>
  <si>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</si>
  <si>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</si>
  <si>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</si>
  <si>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</si>
  <si>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</si>
  <si>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</si>
  <si>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</si>
  <si>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</si>
  <si>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r>
      <rPr>
        <b/>
        <sz val="11"/>
        <color theme="1"/>
        <rFont val="Aptos Narrow"/>
        <family val="2"/>
        <scheme val="minor"/>
      </rPr>
      <t xml:space="preserve">Eh </t>
    </r>
    <r>
      <rPr>
        <b/>
        <vertAlign val="subscript"/>
        <sz val="11"/>
        <color theme="1"/>
        <rFont val="Aptos Narrow"/>
        <family val="2"/>
        <scheme val="minor"/>
      </rPr>
      <t>measured</t>
    </r>
  </si>
  <si>
    <t>✔ check amount of DIW</t>
  </si>
  <si>
    <t>✔ adjust pH of siderite + NaCl mix</t>
  </si>
  <si>
    <t>Position</t>
  </si>
  <si>
    <t>Sample_ID</t>
  </si>
  <si>
    <t>CPM</t>
  </si>
  <si>
    <t>Efficiency</t>
  </si>
  <si>
    <t>DPM im Vial</t>
  </si>
  <si>
    <t>Bq im Vial</t>
  </si>
  <si>
    <t>Error 2S%</t>
  </si>
  <si>
    <t>Lumi %</t>
  </si>
  <si>
    <t>TDCR</t>
  </si>
  <si>
    <t>A01</t>
  </si>
  <si>
    <t>blank</t>
  </si>
  <si>
    <t>A02</t>
  </si>
  <si>
    <t>Tc stock 10e-4M</t>
  </si>
  <si>
    <t>A03</t>
  </si>
  <si>
    <t>Tc_sid_20min_4a</t>
  </si>
  <si>
    <t>A04</t>
  </si>
  <si>
    <t>Tc_sid_20min_5a</t>
  </si>
  <si>
    <t>A05</t>
  </si>
  <si>
    <t>Tc_sid_20min_6a</t>
  </si>
  <si>
    <t>A06</t>
  </si>
  <si>
    <t>Tc_sid_20min_6b</t>
  </si>
  <si>
    <t>B01</t>
  </si>
  <si>
    <t>Tc_sid_20min_8a</t>
  </si>
  <si>
    <t>B02</t>
  </si>
  <si>
    <t>Tc_sid_20min_8b</t>
  </si>
  <si>
    <t>B03</t>
  </si>
  <si>
    <t>Tc_sid_20min_10a</t>
  </si>
  <si>
    <t>B04</t>
  </si>
  <si>
    <t>Tc_sid_20min_10b</t>
  </si>
  <si>
    <t>B05</t>
  </si>
  <si>
    <t>Tc_sid_20min_12a</t>
  </si>
  <si>
    <t>B06</t>
  </si>
  <si>
    <t>Tc_sid_20min_12b</t>
  </si>
  <si>
    <t>LSC, mL</t>
  </si>
  <si>
    <t>Tc aliquot, mL</t>
  </si>
  <si>
    <t>Vial, Bq/ml</t>
  </si>
  <si>
    <t>Sample, Bq/ml</t>
  </si>
  <si>
    <t>Sample [99Tc], mM</t>
  </si>
  <si>
    <t>DPM in vial</t>
  </si>
  <si>
    <t>Measurement data</t>
  </si>
  <si>
    <t>Calculations</t>
  </si>
  <si>
    <t>Sample [99Tc], M</t>
  </si>
  <si>
    <t>LSC waste, Bq/mL</t>
  </si>
  <si>
    <t>Bq, solid waste</t>
  </si>
  <si>
    <t>Tc stock 10e-5M</t>
  </si>
  <si>
    <t>Tc 18.7 mM</t>
  </si>
  <si>
    <t>Volume, mL</t>
  </si>
  <si>
    <t>TOTAL:</t>
  </si>
  <si>
    <t>Tc solutions, Measured 11.03.2026</t>
  </si>
  <si>
    <t>1E-5 M Tc with 1.3 g/L of siderite, after 30 min, Experiment done  10.03.2026</t>
  </si>
  <si>
    <t>Positions</t>
  </si>
  <si>
    <t>Sample ID</t>
  </si>
  <si>
    <t>cpm</t>
  </si>
  <si>
    <t>Tc+s_20min_pH6a_repeat</t>
  </si>
  <si>
    <t>Tc+s_20min_pH6b_repeat</t>
  </si>
  <si>
    <t>C01</t>
  </si>
  <si>
    <t>Tc+s_20min_pH12b_repeat</t>
  </si>
  <si>
    <t>C02</t>
  </si>
  <si>
    <t>Tc+s_24h_pH3a</t>
  </si>
  <si>
    <t>C03</t>
  </si>
  <si>
    <t>Tc+s_24h_pH3b</t>
  </si>
  <si>
    <t>C04</t>
  </si>
  <si>
    <t>Tc+s_24h_pH4a</t>
  </si>
  <si>
    <t>C05</t>
  </si>
  <si>
    <t>Tc+s_24h_pH4b</t>
  </si>
  <si>
    <t>C06</t>
  </si>
  <si>
    <t>Tc+s_24h_pH5a</t>
  </si>
  <si>
    <t>D01</t>
  </si>
  <si>
    <t>Tc+s_24h_pH6a</t>
  </si>
  <si>
    <t>D02</t>
  </si>
  <si>
    <t>Tc+s_24h_pH6b</t>
  </si>
  <si>
    <t>D03</t>
  </si>
  <si>
    <t>Tc+s_24h_pH8a</t>
  </si>
  <si>
    <t>D04</t>
  </si>
  <si>
    <t>Tc+s_24h_pH8b</t>
  </si>
  <si>
    <t>D05</t>
  </si>
  <si>
    <t>Tc+s_24h_pH9a</t>
  </si>
  <si>
    <t>D06</t>
  </si>
  <si>
    <t>Tc+s_24h_pH9b</t>
  </si>
  <si>
    <t>E01</t>
  </si>
  <si>
    <t>Tc+s_24h_pH10a</t>
  </si>
  <si>
    <t>E02</t>
  </si>
  <si>
    <t>Tc+s_24h_pH10b</t>
  </si>
  <si>
    <t>E03</t>
  </si>
  <si>
    <t>Tc+s_24h_pH12a</t>
  </si>
  <si>
    <t>E04</t>
  </si>
  <si>
    <t>Tc+s_24h_pH12b</t>
  </si>
  <si>
    <t>1E-5 M Tc with 1.3 g/L of siderite, after 1 day, Experiment done  11.03.2026</t>
  </si>
  <si>
    <t>Tc solutions, Measured 12.03.2026</t>
  </si>
  <si>
    <t>Tc solutions, Measured 13.03.2026</t>
  </si>
  <si>
    <t>Tc+s_24h_pH7a</t>
  </si>
  <si>
    <t>Tc+s_24h_pH7b</t>
  </si>
  <si>
    <t>Target_pH</t>
  </si>
  <si>
    <t>Time_h</t>
  </si>
  <si>
    <t>pH_Actual</t>
  </si>
  <si>
    <t>[Tc]</t>
  </si>
  <si>
    <t>[Kd]</t>
  </si>
  <si>
    <t>Eh measured</t>
  </si>
  <si>
    <t>Tc+s_20min_pH3a</t>
  </si>
  <si>
    <t>Tc+s_20min_pH11b_</t>
  </si>
  <si>
    <t>Tc+s_20min_pH3b_</t>
  </si>
  <si>
    <t>Tc+s_20min_pH7a_</t>
  </si>
  <si>
    <t>Tc+s_20min_pH7b_</t>
  </si>
  <si>
    <t>Tc+s_20min_pH9a_</t>
  </si>
  <si>
    <t>Tc+s_20min_pH9b_</t>
  </si>
  <si>
    <t>Tc+s_20min_pH10b_</t>
  </si>
  <si>
    <t>Tc+s_20min_pH11a_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</si>
</sst>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E+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Calibri"/>
      <family val="2"/>
      <charset val="1"/>
    </font>
    <font>
      <i/>
      <sz val="12"/>
      <color indexed="8"/>
      <name val="Calibri"/>
      <family val="2"/>
      <charset val="1"/>
    </font>
    <font>
      <sz val="11"/>
      <color theme="1"/>
      <name val="Calibri"/>
      <family val="2"/>
    </font>
    <font>
      <sz val="14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5" xfId="0" applyBorder="1"/>
    <xf numFmtId="11" fontId="0" fillId="0" borderId="5" xfId="0" applyNumberFormat="1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Border="1"/>
    <xf numFmtId="11" fontId="0" fillId="0" borderId="0" xfId="0" applyNumberFormat="1"/>
    <xf numFmtId="0" fontId="0" fillId="0" borderId="4" xfId="0" applyBorder="1"/>
    <xf numFmtId="0" fontId="0" fillId="0" borderId="11" xfId="0" applyBorder="1"/>
    <xf numFmtId="2" fontId="0" fillId="0" borderId="0" xfId="0" applyNumberFormat="1"/>
    <xf numFmtId="165" fontId="0" fillId="0" borderId="0" xfId="0" applyNumberFormat="1"/>
    <xf numFmtId="0" fontId="0" fillId="2" borderId="4" xfId="0" applyFill="1" applyBorder="1"/>
    <xf numFmtId="11" fontId="0" fillId="2" borderId="5" xfId="0" applyNumberFormat="1" applyFill="1" applyBorder="1"/>
    <xf numFmtId="0" fontId="0" fillId="2" borderId="11" xfId="0" applyFill="1" applyBorder="1"/>
    <xf numFmtId="0" fontId="0" fillId="2" borderId="5" xfId="0" applyFill="1" applyBorder="1"/>
    <xf numFmtId="165" fontId="0" fillId="2" borderId="5" xfId="0" applyNumberFormat="1" applyFill="1" applyBorder="1"/>
    <xf numFmtId="164" fontId="0" fillId="2" borderId="5" xfId="0" applyNumberForma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0" borderId="0" xfId="0" applyFont="1"/>
    <xf numFmtId="0" fontId="2" fillId="0" borderId="0" xfId="0" applyFont="1" applyFill="1" applyBorder="1" applyAlignment="1">
      <alignment horizontal="left"/>
    </xf>
    <xf numFmtId="164" fontId="0" fillId="0" borderId="11" xfId="0" applyNumberFormat="1" applyBorder="1"/>
    <xf numFmtId="0" fontId="2" fillId="3" borderId="2" xfId="0" applyFont="1" applyFill="1" applyBorder="1"/>
    <xf numFmtId="0" fontId="2" fillId="3" borderId="7" xfId="0" applyFont="1" applyFill="1" applyBorder="1"/>
    <xf numFmtId="0" fontId="3" fillId="3" borderId="7" xfId="0" applyFont="1" applyFill="1" applyBorder="1"/>
    <xf numFmtId="0" fontId="0" fillId="0" borderId="7" xfId="0" applyBorder="1"/>
    <xf numFmtId="11" fontId="0" fillId="0" borderId="7" xfId="0" applyNumberFormat="1" applyBorder="1"/>
    <xf numFmtId="165" fontId="0" fillId="0" borderId="7" xfId="0" applyNumberFormat="1" applyBorder="1"/>
    <xf numFmtId="164" fontId="0" fillId="0" borderId="7" xfId="0" applyNumberFormat="1" applyBorder="1"/>
    <xf numFmtId="0" fontId="0" fillId="0" borderId="13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2" fontId="0" fillId="5" borderId="6" xfId="0" applyNumberForma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Protection="1">
      <protection locked="0"/>
    </xf>
    <xf numFmtId="11" fontId="7" fillId="0" borderId="0" xfId="0" applyNumberFormat="1" applyFont="1"/>
    <xf numFmtId="166" fontId="7" fillId="0" borderId="0" xfId="0" applyNumberFormat="1" applyFont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/>
    <xf numFmtId="2" fontId="7" fillId="0" borderId="0" xfId="0" applyNumberFormat="1" applyFont="1" applyBorder="1"/>
    <xf numFmtId="0" fontId="7" fillId="0" borderId="5" xfId="0" applyFont="1" applyBorder="1"/>
    <xf numFmtId="0" fontId="7" fillId="0" borderId="5" xfId="0" applyFont="1" applyBorder="1" applyProtection="1">
      <protection locked="0"/>
    </xf>
    <xf numFmtId="11" fontId="7" fillId="0" borderId="5" xfId="0" applyNumberFormat="1" applyFont="1" applyBorder="1"/>
    <xf numFmtId="0" fontId="7" fillId="0" borderId="14" xfId="0" applyFont="1" applyBorder="1"/>
    <xf numFmtId="2" fontId="7" fillId="0" borderId="14" xfId="0" applyNumberFormat="1" applyFont="1" applyBorder="1"/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" fillId="0" borderId="7" xfId="0" applyFont="1" applyBorder="1"/>
    <xf numFmtId="0" fontId="10" fillId="0" borderId="16" xfId="0" applyFont="1" applyFill="1" applyBorder="1" applyAlignment="1">
      <alignment vertical="center" wrapText="1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RULET\Zarina%20Salkenova\Experiments\Tc%20sorption%20experiments\siderite%20pH%20assay\LSC\Copy%20of%203.%20LSC_Overnight_Reduction260119_21.xls" TargetMode="External"/><Relationship Id="rId1" Type="http://schemas.openxmlformats.org/officeDocument/2006/relationships/externalLinkPath" Target="file:///N:\RULET\Zarina%20Salkenova\Experiments\Tc%20sorption%20experiments\siderite%20pH%20assay\LSC\Copy%20of%203.%20LSC_Overnight_Reduction260119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Raw data"/>
    </sheetNames>
    <sheetDataSet>
      <sheetData sheetId="0"/>
      <sheetData sheetId="1">
        <row r="1">
          <cell r="A1" t="str">
            <v>Positions</v>
          </cell>
          <cell r="B1" t="str">
            <v>Sample ID</v>
          </cell>
          <cell r="C1" t="str">
            <v>cpm</v>
          </cell>
          <cell r="D1" t="str">
            <v>Efficiency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FAA5-10E2-4E53-8B83-12C725F036AB}">
  <sheetPr>
    <pageSetUpPr fitToPage="1"/>
  </sheetPr>
  <dimension ref="A1:N32"/>
  <sheetViews>
    <sheetView topLeftCell="A9" zoomScale="85" zoomScaleNormal="85" workbookViewId="0">
      <selection activeCell="E11" sqref="E11"/>
    </sheetView>
    <sheetView workbookViewId="1"/>
  </sheetViews>
  <sheetFormatPr defaultRowHeight="15" x14ac:dyDescent="0.25"/>
  <cols>
    <col min="1" max="1" width="14.85546875" bestFit="1" customWidth="1"/>
    <col min="2" max="2" width="9.85546875" customWidth="1"/>
    <col min="3" max="3" width="14.140625" bestFit="1" customWidth="1"/>
    <col min="4" max="4" width="12" bestFit="1" customWidth="1"/>
    <col min="6" max="6" width="9.7109375" bestFit="1" customWidth="1"/>
    <col min="7" max="7" width="10.5703125" bestFit="1" customWidth="1"/>
    <col min="8" max="8" width="9.5703125" bestFit="1" customWidth="1"/>
    <col min="9" max="9" width="12.85546875" bestFit="1" customWidth="1"/>
    <col min="10" max="10" width="12.28515625" customWidth="1"/>
    <col min="11" max="11" width="10.5703125" bestFit="1" customWidth="1"/>
    <col min="12" max="12" width="11.42578125" bestFit="1" customWidth="1"/>
    <col min="13" max="13" width="16.42578125" bestFit="1" customWidth="1"/>
  </cols>
  <sheetData>
    <row r="1" spans="1:14" ht="30" x14ac:dyDescent="0.25">
      <c r="A1" s="1" t="s">
        <v>1</v>
      </c>
      <c r="B1" s="2" t="s">
        <v>2</v>
      </c>
      <c r="C1" s="3" t="s">
        <v>3</v>
      </c>
      <c r="D1" s="2" t="s">
        <v>4</v>
      </c>
      <c r="E1" s="2" t="s">
        <v>5</v>
      </c>
      <c r="F1" s="2" t="s">
        <v>6</v>
      </c>
      <c r="G1" s="4" t="s">
        <v>42</v>
      </c>
      <c r="H1" s="4"/>
    </row>
    <row r="2" spans="1:14" x14ac:dyDescent="0.25">
      <c r="A2" s="12">
        <v>5</v>
      </c>
      <c r="B2" s="6">
        <v>1.0000000000000001E-5</v>
      </c>
      <c r="C2" s="5">
        <v>20</v>
      </c>
      <c r="D2" s="7" t="e">
        <f>C2*#REF!</f>
        <v>#REF!</v>
      </c>
      <c r="E2" s="5">
        <v>1.3</v>
      </c>
      <c r="F2" s="5">
        <v>0.1</v>
      </c>
      <c r="G2" s="13">
        <f>E2*A2/D8</f>
        <v>9.5879634182318763E-2</v>
      </c>
      <c r="H2" s="31"/>
    </row>
    <row r="4" spans="1:14" x14ac:dyDescent="0.25">
      <c r="F4" s="68" t="s">
        <v>36</v>
      </c>
      <c r="G4" s="69"/>
      <c r="H4" s="70"/>
      <c r="M4" s="29" t="s">
        <v>37</v>
      </c>
    </row>
    <row r="5" spans="1:14" ht="18" x14ac:dyDescent="0.35">
      <c r="A5" s="9" t="s">
        <v>8</v>
      </c>
      <c r="B5" s="9" t="s">
        <v>9</v>
      </c>
      <c r="C5" s="22" t="s">
        <v>10</v>
      </c>
      <c r="D5" s="23" t="s">
        <v>11</v>
      </c>
      <c r="E5" s="24" t="s">
        <v>12</v>
      </c>
      <c r="F5" s="23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6</v>
      </c>
      <c r="L5" s="24" t="s">
        <v>7</v>
      </c>
      <c r="M5" s="30" t="s">
        <v>38</v>
      </c>
    </row>
    <row r="6" spans="1:14" x14ac:dyDescent="0.25">
      <c r="A6" s="10" t="s">
        <v>13</v>
      </c>
      <c r="B6" s="8">
        <f>23*2+12+3*16</f>
        <v>106</v>
      </c>
      <c r="C6" s="16" t="s">
        <v>14</v>
      </c>
      <c r="D6" s="17">
        <v>1.8700000000000001E-2</v>
      </c>
      <c r="E6" s="18" t="s">
        <v>15</v>
      </c>
      <c r="F6" s="19">
        <v>4</v>
      </c>
      <c r="G6" s="17">
        <v>1E-4</v>
      </c>
      <c r="H6" s="19">
        <v>10</v>
      </c>
      <c r="I6" s="20">
        <f>G6*H6/D6*1000</f>
        <v>53.475935828877006</v>
      </c>
      <c r="J6" s="21">
        <f>H6-I6/1000</f>
        <v>9.9465240641711237</v>
      </c>
      <c r="K6" s="19">
        <v>0.1</v>
      </c>
      <c r="L6" s="18">
        <f>K6*B8*H6/1000</f>
        <v>5.850000000000001E-2</v>
      </c>
      <c r="M6" s="29" t="s">
        <v>40</v>
      </c>
    </row>
    <row r="7" spans="1:14" x14ac:dyDescent="0.25">
      <c r="A7" s="10" t="s">
        <v>16</v>
      </c>
      <c r="B7" s="8">
        <f>23+1+12+16*3</f>
        <v>84</v>
      </c>
      <c r="C7" t="s">
        <v>14</v>
      </c>
      <c r="D7" s="11">
        <v>1.0970000000000001E-2</v>
      </c>
      <c r="E7" t="s">
        <v>15</v>
      </c>
      <c r="F7">
        <v>6</v>
      </c>
    </row>
    <row r="8" spans="1:14" x14ac:dyDescent="0.25">
      <c r="A8" s="12" t="s">
        <v>19</v>
      </c>
      <c r="B8" s="13">
        <f>23+35.5</f>
        <v>58.5</v>
      </c>
      <c r="C8" s="10" t="s">
        <v>17</v>
      </c>
      <c r="D8">
        <v>67.793333333333365</v>
      </c>
      <c r="E8" s="8" t="s">
        <v>18</v>
      </c>
    </row>
    <row r="10" spans="1:14" x14ac:dyDescent="0.25">
      <c r="N10" s="29" t="s">
        <v>37</v>
      </c>
    </row>
    <row r="11" spans="1:14" ht="18" x14ac:dyDescent="0.35">
      <c r="A11" s="33" t="s">
        <v>23</v>
      </c>
      <c r="B11" s="33" t="s">
        <v>21</v>
      </c>
      <c r="C11" s="33" t="s">
        <v>0</v>
      </c>
      <c r="D11" s="33" t="s">
        <v>43</v>
      </c>
      <c r="E11" s="34" t="s">
        <v>64</v>
      </c>
      <c r="F11" s="33" t="s">
        <v>20</v>
      </c>
      <c r="G11" s="33" t="s">
        <v>22</v>
      </c>
      <c r="H11" s="33" t="s">
        <v>30</v>
      </c>
      <c r="I11" s="33" t="s">
        <v>31</v>
      </c>
      <c r="J11" s="33" t="s">
        <v>32</v>
      </c>
      <c r="K11" s="32" t="s">
        <v>33</v>
      </c>
      <c r="L11" s="26"/>
      <c r="M11" s="27"/>
      <c r="N11" s="30" t="s">
        <v>39</v>
      </c>
    </row>
    <row r="12" spans="1:14" x14ac:dyDescent="0.25">
      <c r="A12" s="35">
        <v>1</v>
      </c>
      <c r="B12" s="35" t="s">
        <v>44</v>
      </c>
      <c r="C12" s="35">
        <v>3</v>
      </c>
      <c r="D12" s="35"/>
      <c r="E12" s="35"/>
      <c r="F12" s="35">
        <v>5</v>
      </c>
      <c r="G12" s="36">
        <f>0.00001</f>
        <v>1.0000000000000001E-5</v>
      </c>
      <c r="H12" s="37">
        <f t="shared" ref="H12:H31" si="0">$G$12*$F$12/$G$6</f>
        <v>0.5</v>
      </c>
      <c r="I12" s="37">
        <f t="shared" ref="I12:I31" si="1">$G$2*1000</f>
        <v>95.879634182318767</v>
      </c>
      <c r="J12" s="38">
        <f>F12-I12/1000-H12</f>
        <v>4.4041203658176808</v>
      </c>
      <c r="K12" s="28" t="s">
        <v>6</v>
      </c>
      <c r="L12" s="28" t="s">
        <v>34</v>
      </c>
      <c r="M12" s="8" t="s">
        <v>35</v>
      </c>
      <c r="N12" s="29" t="s">
        <v>40</v>
      </c>
    </row>
    <row r="13" spans="1:14" x14ac:dyDescent="0.25">
      <c r="A13" s="35">
        <v>2</v>
      </c>
      <c r="B13" s="35" t="s">
        <v>45</v>
      </c>
      <c r="C13" s="35">
        <v>3</v>
      </c>
      <c r="D13" s="35"/>
      <c r="E13" s="35"/>
      <c r="F13" s="35">
        <v>5</v>
      </c>
      <c r="G13" s="36">
        <f t="shared" ref="G13:G31" si="2">0.00001</f>
        <v>1.0000000000000001E-5</v>
      </c>
      <c r="H13" s="37">
        <f t="shared" si="0"/>
        <v>0.5</v>
      </c>
      <c r="I13" s="37">
        <f t="shared" si="1"/>
        <v>95.879634182318767</v>
      </c>
      <c r="J13" s="38">
        <f t="shared" ref="J13:J30" si="3">F13-I13/1000-H13</f>
        <v>4.4041203658176808</v>
      </c>
      <c r="K13" s="5">
        <v>1.135</v>
      </c>
      <c r="L13" s="5">
        <v>6.6349999999999998</v>
      </c>
      <c r="M13" s="13">
        <v>100</v>
      </c>
      <c r="N13" s="29" t="s">
        <v>41</v>
      </c>
    </row>
    <row r="14" spans="1:14" x14ac:dyDescent="0.25">
      <c r="A14" s="35">
        <v>3</v>
      </c>
      <c r="B14" s="35" t="s">
        <v>55</v>
      </c>
      <c r="C14" s="35">
        <v>4</v>
      </c>
      <c r="D14" s="35"/>
      <c r="E14" s="35"/>
      <c r="F14" s="35">
        <v>5</v>
      </c>
      <c r="G14" s="36">
        <f t="shared" si="2"/>
        <v>1.0000000000000001E-5</v>
      </c>
      <c r="H14" s="37">
        <f t="shared" si="0"/>
        <v>0.5</v>
      </c>
      <c r="I14" s="37">
        <f t="shared" si="1"/>
        <v>95.879634182318767</v>
      </c>
      <c r="J14" s="38">
        <f t="shared" si="3"/>
        <v>4.4041203658176808</v>
      </c>
      <c r="N14" s="29" t="s">
        <v>65</v>
      </c>
    </row>
    <row r="15" spans="1:14" x14ac:dyDescent="0.25">
      <c r="A15" s="35">
        <v>4</v>
      </c>
      <c r="B15" s="35" t="s">
        <v>46</v>
      </c>
      <c r="C15" s="35">
        <v>4</v>
      </c>
      <c r="D15" s="35"/>
      <c r="E15" s="35"/>
      <c r="F15" s="35">
        <v>5</v>
      </c>
      <c r="G15" s="36">
        <f t="shared" si="2"/>
        <v>1.0000000000000001E-5</v>
      </c>
      <c r="H15" s="37">
        <f t="shared" si="0"/>
        <v>0.5</v>
      </c>
      <c r="I15" s="37">
        <f t="shared" si="1"/>
        <v>95.879634182318767</v>
      </c>
      <c r="J15" s="38">
        <f t="shared" si="3"/>
        <v>4.4041203658176808</v>
      </c>
      <c r="N15" s="29" t="s">
        <v>66</v>
      </c>
    </row>
    <row r="16" spans="1:14" x14ac:dyDescent="0.25">
      <c r="A16" s="35">
        <v>5</v>
      </c>
      <c r="B16" s="35" t="s">
        <v>56</v>
      </c>
      <c r="C16" s="35">
        <v>5</v>
      </c>
      <c r="D16" s="35"/>
      <c r="E16" s="35"/>
      <c r="F16" s="35">
        <v>5</v>
      </c>
      <c r="G16" s="36">
        <f t="shared" si="2"/>
        <v>1.0000000000000001E-5</v>
      </c>
      <c r="H16" s="37">
        <f t="shared" si="0"/>
        <v>0.5</v>
      </c>
      <c r="I16" s="37">
        <f t="shared" si="1"/>
        <v>95.879634182318767</v>
      </c>
      <c r="J16" s="38">
        <f t="shared" si="3"/>
        <v>4.4041203658176808</v>
      </c>
    </row>
    <row r="17" spans="1:10" x14ac:dyDescent="0.25">
      <c r="A17" s="35">
        <v>6</v>
      </c>
      <c r="B17" s="35" t="s">
        <v>47</v>
      </c>
      <c r="C17" s="35">
        <v>5</v>
      </c>
      <c r="D17" s="35"/>
      <c r="E17" s="35"/>
      <c r="F17" s="35">
        <v>5</v>
      </c>
      <c r="G17" s="36">
        <f t="shared" si="2"/>
        <v>1.0000000000000001E-5</v>
      </c>
      <c r="H17" s="37">
        <f t="shared" si="0"/>
        <v>0.5</v>
      </c>
      <c r="I17" s="37">
        <f t="shared" si="1"/>
        <v>95.879634182318767</v>
      </c>
      <c r="J17" s="38">
        <f t="shared" si="3"/>
        <v>4.4041203658176808</v>
      </c>
    </row>
    <row r="18" spans="1:10" x14ac:dyDescent="0.25">
      <c r="A18" s="35">
        <v>7</v>
      </c>
      <c r="B18" s="35" t="s">
        <v>57</v>
      </c>
      <c r="C18" s="35">
        <v>6</v>
      </c>
      <c r="D18" s="35"/>
      <c r="E18" s="35"/>
      <c r="F18" s="35">
        <v>5</v>
      </c>
      <c r="G18" s="36">
        <f t="shared" si="2"/>
        <v>1.0000000000000001E-5</v>
      </c>
      <c r="H18" s="37">
        <f t="shared" si="0"/>
        <v>0.5</v>
      </c>
      <c r="I18" s="37">
        <f t="shared" si="1"/>
        <v>95.879634182318767</v>
      </c>
      <c r="J18" s="38">
        <f t="shared" si="3"/>
        <v>4.4041203658176808</v>
      </c>
    </row>
    <row r="19" spans="1:10" x14ac:dyDescent="0.25">
      <c r="A19" s="35">
        <v>8</v>
      </c>
      <c r="B19" s="35" t="s">
        <v>48</v>
      </c>
      <c r="C19" s="35">
        <v>6</v>
      </c>
      <c r="D19" s="35"/>
      <c r="E19" s="35"/>
      <c r="F19" s="35">
        <v>5</v>
      </c>
      <c r="G19" s="36">
        <f t="shared" si="2"/>
        <v>1.0000000000000001E-5</v>
      </c>
      <c r="H19" s="37">
        <f t="shared" si="0"/>
        <v>0.5</v>
      </c>
      <c r="I19" s="37">
        <f t="shared" si="1"/>
        <v>95.879634182318767</v>
      </c>
      <c r="J19" s="38">
        <f t="shared" si="3"/>
        <v>4.4041203658176808</v>
      </c>
    </row>
    <row r="20" spans="1:10" x14ac:dyDescent="0.25">
      <c r="A20" s="35">
        <v>9</v>
      </c>
      <c r="B20" s="35" t="s">
        <v>58</v>
      </c>
      <c r="C20" s="35">
        <v>7</v>
      </c>
      <c r="D20" s="35"/>
      <c r="E20" s="35"/>
      <c r="F20" s="35">
        <v>5</v>
      </c>
      <c r="G20" s="36">
        <f t="shared" si="2"/>
        <v>1.0000000000000001E-5</v>
      </c>
      <c r="H20" s="37">
        <f t="shared" si="0"/>
        <v>0.5</v>
      </c>
      <c r="I20" s="37">
        <f t="shared" si="1"/>
        <v>95.879634182318767</v>
      </c>
      <c r="J20" s="38">
        <f t="shared" si="3"/>
        <v>4.4041203658176808</v>
      </c>
    </row>
    <row r="21" spans="1:10" x14ac:dyDescent="0.25">
      <c r="A21" s="35">
        <v>10</v>
      </c>
      <c r="B21" s="35" t="s">
        <v>49</v>
      </c>
      <c r="C21" s="35">
        <v>7</v>
      </c>
      <c r="D21" s="35"/>
      <c r="E21" s="35"/>
      <c r="F21" s="35">
        <v>5</v>
      </c>
      <c r="G21" s="36">
        <f t="shared" si="2"/>
        <v>1.0000000000000001E-5</v>
      </c>
      <c r="H21" s="37">
        <f t="shared" si="0"/>
        <v>0.5</v>
      </c>
      <c r="I21" s="37">
        <f t="shared" si="1"/>
        <v>95.879634182318767</v>
      </c>
      <c r="J21" s="38">
        <f t="shared" si="3"/>
        <v>4.4041203658176808</v>
      </c>
    </row>
    <row r="22" spans="1:10" x14ac:dyDescent="0.25">
      <c r="A22" s="35">
        <v>11</v>
      </c>
      <c r="B22" s="35" t="s">
        <v>59</v>
      </c>
      <c r="C22" s="35">
        <v>8</v>
      </c>
      <c r="D22" s="35"/>
      <c r="E22" s="35"/>
      <c r="F22" s="35">
        <v>5</v>
      </c>
      <c r="G22" s="36">
        <f t="shared" si="2"/>
        <v>1.0000000000000001E-5</v>
      </c>
      <c r="H22" s="37">
        <f t="shared" si="0"/>
        <v>0.5</v>
      </c>
      <c r="I22" s="37">
        <f t="shared" si="1"/>
        <v>95.879634182318767</v>
      </c>
      <c r="J22" s="38">
        <f t="shared" si="3"/>
        <v>4.4041203658176808</v>
      </c>
    </row>
    <row r="23" spans="1:10" x14ac:dyDescent="0.25">
      <c r="A23" s="35">
        <v>12</v>
      </c>
      <c r="B23" s="35" t="s">
        <v>50</v>
      </c>
      <c r="C23" s="35">
        <v>8</v>
      </c>
      <c r="D23" s="35"/>
      <c r="E23" s="35"/>
      <c r="F23" s="35">
        <v>5</v>
      </c>
      <c r="G23" s="36">
        <f t="shared" si="2"/>
        <v>1.0000000000000001E-5</v>
      </c>
      <c r="H23" s="37">
        <f t="shared" si="0"/>
        <v>0.5</v>
      </c>
      <c r="I23" s="37">
        <f t="shared" si="1"/>
        <v>95.879634182318767</v>
      </c>
      <c r="J23" s="38">
        <f t="shared" si="3"/>
        <v>4.4041203658176808</v>
      </c>
    </row>
    <row r="24" spans="1:10" x14ac:dyDescent="0.25">
      <c r="A24" s="35">
        <v>13</v>
      </c>
      <c r="B24" s="35" t="s">
        <v>60</v>
      </c>
      <c r="C24" s="35">
        <v>9</v>
      </c>
      <c r="D24" s="35"/>
      <c r="E24" s="35"/>
      <c r="F24" s="35">
        <v>5</v>
      </c>
      <c r="G24" s="36">
        <f t="shared" si="2"/>
        <v>1.0000000000000001E-5</v>
      </c>
      <c r="H24" s="37">
        <f t="shared" si="0"/>
        <v>0.5</v>
      </c>
      <c r="I24" s="37">
        <f t="shared" si="1"/>
        <v>95.879634182318767</v>
      </c>
      <c r="J24" s="38">
        <f t="shared" si="3"/>
        <v>4.4041203658176808</v>
      </c>
    </row>
    <row r="25" spans="1:10" x14ac:dyDescent="0.25">
      <c r="A25" s="35">
        <v>14</v>
      </c>
      <c r="B25" s="35" t="s">
        <v>51</v>
      </c>
      <c r="C25" s="35">
        <v>9</v>
      </c>
      <c r="D25" s="35"/>
      <c r="E25" s="35"/>
      <c r="F25" s="35">
        <v>5</v>
      </c>
      <c r="G25" s="36">
        <f t="shared" si="2"/>
        <v>1.0000000000000001E-5</v>
      </c>
      <c r="H25" s="37">
        <f t="shared" si="0"/>
        <v>0.5</v>
      </c>
      <c r="I25" s="37">
        <f t="shared" si="1"/>
        <v>95.879634182318767</v>
      </c>
      <c r="J25" s="38">
        <f t="shared" si="3"/>
        <v>4.4041203658176808</v>
      </c>
    </row>
    <row r="26" spans="1:10" x14ac:dyDescent="0.25">
      <c r="A26" s="35">
        <v>15</v>
      </c>
      <c r="B26" s="35" t="s">
        <v>61</v>
      </c>
      <c r="C26" s="35">
        <v>10</v>
      </c>
      <c r="D26" s="35"/>
      <c r="E26" s="35"/>
      <c r="F26" s="35">
        <v>5</v>
      </c>
      <c r="G26" s="36">
        <f t="shared" si="2"/>
        <v>1.0000000000000001E-5</v>
      </c>
      <c r="H26" s="37">
        <f t="shared" si="0"/>
        <v>0.5</v>
      </c>
      <c r="I26" s="37">
        <f t="shared" si="1"/>
        <v>95.879634182318767</v>
      </c>
      <c r="J26" s="38">
        <f t="shared" si="3"/>
        <v>4.4041203658176808</v>
      </c>
    </row>
    <row r="27" spans="1:10" x14ac:dyDescent="0.25">
      <c r="A27" s="35">
        <v>16</v>
      </c>
      <c r="B27" s="35" t="s">
        <v>52</v>
      </c>
      <c r="C27" s="35">
        <v>10</v>
      </c>
      <c r="D27" s="35"/>
      <c r="E27" s="35"/>
      <c r="F27" s="35">
        <v>5</v>
      </c>
      <c r="G27" s="36">
        <f t="shared" si="2"/>
        <v>1.0000000000000001E-5</v>
      </c>
      <c r="H27" s="37">
        <f t="shared" si="0"/>
        <v>0.5</v>
      </c>
      <c r="I27" s="37">
        <f t="shared" si="1"/>
        <v>95.879634182318767</v>
      </c>
      <c r="J27" s="38">
        <f t="shared" si="3"/>
        <v>4.4041203658176808</v>
      </c>
    </row>
    <row r="28" spans="1:10" x14ac:dyDescent="0.25">
      <c r="A28" s="35">
        <v>17</v>
      </c>
      <c r="B28" s="35" t="s">
        <v>62</v>
      </c>
      <c r="C28" s="35">
        <v>11</v>
      </c>
      <c r="D28" s="35"/>
      <c r="E28" s="35"/>
      <c r="F28" s="35">
        <v>5</v>
      </c>
      <c r="G28" s="36">
        <f t="shared" si="2"/>
        <v>1.0000000000000001E-5</v>
      </c>
      <c r="H28" s="37">
        <f t="shared" si="0"/>
        <v>0.5</v>
      </c>
      <c r="I28" s="37">
        <f t="shared" si="1"/>
        <v>95.879634182318767</v>
      </c>
      <c r="J28" s="38">
        <f t="shared" si="3"/>
        <v>4.4041203658176808</v>
      </c>
    </row>
    <row r="29" spans="1:10" x14ac:dyDescent="0.25">
      <c r="A29" s="35">
        <v>18</v>
      </c>
      <c r="B29" s="35" t="s">
        <v>53</v>
      </c>
      <c r="C29" s="35">
        <v>11</v>
      </c>
      <c r="D29" s="35"/>
      <c r="E29" s="35"/>
      <c r="F29" s="35">
        <v>5</v>
      </c>
      <c r="G29" s="36">
        <f t="shared" si="2"/>
        <v>1.0000000000000001E-5</v>
      </c>
      <c r="H29" s="37">
        <f t="shared" si="0"/>
        <v>0.5</v>
      </c>
      <c r="I29" s="37">
        <f t="shared" si="1"/>
        <v>95.879634182318767</v>
      </c>
      <c r="J29" s="38">
        <f t="shared" si="3"/>
        <v>4.4041203658176808</v>
      </c>
    </row>
    <row r="30" spans="1:10" x14ac:dyDescent="0.25">
      <c r="A30" s="35">
        <v>19</v>
      </c>
      <c r="B30" s="35" t="s">
        <v>63</v>
      </c>
      <c r="C30" s="35">
        <v>12</v>
      </c>
      <c r="D30" s="35"/>
      <c r="E30" s="35"/>
      <c r="F30" s="35">
        <v>5</v>
      </c>
      <c r="G30" s="36">
        <f t="shared" si="2"/>
        <v>1.0000000000000001E-5</v>
      </c>
      <c r="H30" s="37">
        <f t="shared" si="0"/>
        <v>0.5</v>
      </c>
      <c r="I30" s="37">
        <f t="shared" si="1"/>
        <v>95.879634182318767</v>
      </c>
      <c r="J30" s="38">
        <f t="shared" si="3"/>
        <v>4.4041203658176808</v>
      </c>
    </row>
    <row r="31" spans="1:10" x14ac:dyDescent="0.25">
      <c r="A31" s="35">
        <v>20</v>
      </c>
      <c r="B31" s="35" t="s">
        <v>54</v>
      </c>
      <c r="C31" s="35">
        <v>12</v>
      </c>
      <c r="D31" s="35"/>
      <c r="E31" s="35"/>
      <c r="F31" s="35">
        <v>5</v>
      </c>
      <c r="G31" s="36">
        <f t="shared" si="2"/>
        <v>1.0000000000000001E-5</v>
      </c>
      <c r="H31" s="37">
        <f t="shared" si="0"/>
        <v>0.5</v>
      </c>
      <c r="I31" s="37">
        <f t="shared" si="1"/>
        <v>95.879634182318767</v>
      </c>
      <c r="J31" s="38">
        <f>F31-I31/1000-H31</f>
        <v>4.4041203658176808</v>
      </c>
    </row>
    <row r="32" spans="1:10" x14ac:dyDescent="0.25">
      <c r="D32" t="s">
        <v>24</v>
      </c>
      <c r="F32">
        <f>SUM(F12:F31)</f>
        <v>100</v>
      </c>
      <c r="H32" s="15">
        <f>SUM(H12:H31)</f>
        <v>10</v>
      </c>
      <c r="I32" s="15">
        <f>SUM(I12:I31)/1000</f>
        <v>1.9175926836463757</v>
      </c>
      <c r="J32" s="14">
        <f>SUM(J12:J31)</f>
        <v>88.08240731635361</v>
      </c>
    </row>
  </sheetData>
  <mergeCells count="1">
    <mergeCell ref="F4:H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A36F-0C8D-4C1B-8C24-5E7322294253}">
  <dimension ref="A1:N74"/>
  <sheetViews>
    <sheetView tabSelected="1" topLeftCell="A18" workbookViewId="0">
      <selection activeCell="B8" sqref="B8:B17"/>
    </sheetView>
    <sheetView workbookViewId="1">
      <selection sqref="A1:M1"/>
    </sheetView>
  </sheetViews>
  <sheetFormatPr defaultRowHeight="15" x14ac:dyDescent="0.25"/>
  <cols>
    <col min="2" max="2" width="25.28515625" customWidth="1"/>
    <col min="4" max="4" width="9.5703125" bestFit="1" customWidth="1"/>
    <col min="5" max="5" width="10.85546875" bestFit="1" customWidth="1"/>
    <col min="7" max="7" width="18.85546875" customWidth="1"/>
    <col min="8" max="8" width="14.28515625" customWidth="1"/>
    <col min="9" max="9" width="15.140625" customWidth="1"/>
    <col min="10" max="10" width="18" bestFit="1" customWidth="1"/>
    <col min="11" max="11" width="16.5703125" bestFit="1" customWidth="1"/>
    <col min="12" max="12" width="14.42578125" bestFit="1" customWidth="1"/>
  </cols>
  <sheetData>
    <row r="1" spans="1:14" ht="18.75" x14ac:dyDescent="0.25">
      <c r="A1" s="79" t="s">
        <v>115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x14ac:dyDescent="0.25">
      <c r="A2" s="78" t="s">
        <v>116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4" ht="18.75" x14ac:dyDescent="0.25">
      <c r="A4" s="72" t="s">
        <v>106</v>
      </c>
      <c r="B4" s="73"/>
      <c r="C4" s="73"/>
      <c r="D4" s="74"/>
      <c r="E4" s="75" t="s">
        <v>107</v>
      </c>
      <c r="F4" s="76"/>
      <c r="G4" s="76"/>
      <c r="H4" s="76"/>
      <c r="I4" s="76"/>
      <c r="J4" s="76"/>
      <c r="K4" s="76"/>
      <c r="L4" s="77"/>
    </row>
    <row r="5" spans="1:14" x14ac:dyDescent="0.25">
      <c r="A5" s="46" t="str">
        <f>'[1]Raw data'!A1</f>
        <v>Positions</v>
      </c>
      <c r="B5" s="58" t="str">
        <f>'[1]Raw data'!B1</f>
        <v>Sample ID</v>
      </c>
      <c r="C5" s="58" t="str">
        <f>'[1]Raw data'!C1</f>
        <v>cpm</v>
      </c>
      <c r="D5" s="48" t="str">
        <f>'[1]Raw data'!D1</f>
        <v>Efficiency</v>
      </c>
      <c r="E5" s="49" t="s">
        <v>105</v>
      </c>
      <c r="F5" s="50" t="s">
        <v>100</v>
      </c>
      <c r="G5" s="59" t="s">
        <v>101</v>
      </c>
      <c r="H5" s="60" t="s">
        <v>102</v>
      </c>
      <c r="I5" s="58" t="s">
        <v>103</v>
      </c>
      <c r="J5" s="61" t="s">
        <v>108</v>
      </c>
      <c r="K5" s="61" t="s">
        <v>109</v>
      </c>
      <c r="L5" s="61" t="s">
        <v>110</v>
      </c>
      <c r="N5" s="53"/>
    </row>
    <row r="6" spans="1:14" ht="12.75" customHeight="1" x14ac:dyDescent="0.25">
      <c r="A6" s="61" t="s">
        <v>76</v>
      </c>
      <c r="B6" s="61" t="s">
        <v>77</v>
      </c>
      <c r="C6" s="61">
        <v>68.34</v>
      </c>
      <c r="D6" s="61"/>
      <c r="E6" s="61"/>
      <c r="F6" s="61">
        <v>5</v>
      </c>
      <c r="G6" s="61"/>
      <c r="H6" s="61"/>
      <c r="I6" s="61"/>
      <c r="J6" s="61"/>
      <c r="K6" s="61"/>
      <c r="L6" s="61"/>
      <c r="M6" s="53"/>
      <c r="N6" s="53"/>
    </row>
    <row r="7" spans="1:14" x14ac:dyDescent="0.25">
      <c r="A7" s="61" t="s">
        <v>78</v>
      </c>
      <c r="B7" s="61" t="s">
        <v>79</v>
      </c>
      <c r="C7" s="61">
        <v>65636.100000000006</v>
      </c>
      <c r="D7" s="61">
        <v>0.97499999999999998</v>
      </c>
      <c r="E7" s="61">
        <v>67331.399999999994</v>
      </c>
      <c r="F7" s="61">
        <v>5</v>
      </c>
      <c r="G7" s="61">
        <v>0.2</v>
      </c>
      <c r="H7" s="61">
        <f>E7/(60*(F7+G7))</f>
        <v>215.80576923076922</v>
      </c>
      <c r="I7" s="61">
        <f>E7/(60*(G7))</f>
        <v>5610.95</v>
      </c>
      <c r="J7" s="61">
        <f>I7/62659.1/1000</f>
        <v>8.9547248524156903E-5</v>
      </c>
      <c r="K7" s="62">
        <f>H7</f>
        <v>215.80576923076922</v>
      </c>
      <c r="L7" s="61">
        <f>I7*5</f>
        <v>28054.75</v>
      </c>
      <c r="M7" s="53"/>
      <c r="N7" s="53"/>
    </row>
    <row r="8" spans="1:14" x14ac:dyDescent="0.25">
      <c r="A8" s="61" t="s">
        <v>80</v>
      </c>
      <c r="B8" s="61" t="s">
        <v>81</v>
      </c>
      <c r="C8" s="61">
        <v>7069.88</v>
      </c>
      <c r="D8" s="61">
        <v>0.97499999999999998</v>
      </c>
      <c r="E8" s="61">
        <v>7250.55</v>
      </c>
      <c r="F8" s="61">
        <v>5</v>
      </c>
      <c r="G8" s="61">
        <v>0.2</v>
      </c>
      <c r="H8" s="61">
        <f t="shared" ref="H8:H17" si="0">E8/(60*(F8+G8))</f>
        <v>23.238942307692309</v>
      </c>
      <c r="I8" s="61">
        <f t="shared" ref="I8:I17" si="1">E8/(60*(G8))</f>
        <v>604.21249999999998</v>
      </c>
      <c r="J8" s="61">
        <f t="shared" ref="J8:J17" si="2">I8/62659.1/1000</f>
        <v>9.6428531530136883E-6</v>
      </c>
      <c r="K8" s="62">
        <f t="shared" ref="K8:K17" si="3">H8</f>
        <v>23.238942307692309</v>
      </c>
      <c r="L8" s="61">
        <f>F8*$I$20-F8*I8</f>
        <v>-215.58749999999964</v>
      </c>
      <c r="M8" s="53"/>
      <c r="N8" s="53"/>
    </row>
    <row r="9" spans="1:14" x14ac:dyDescent="0.25">
      <c r="A9" s="61" t="s">
        <v>82</v>
      </c>
      <c r="B9" s="61" t="s">
        <v>83</v>
      </c>
      <c r="C9" s="61">
        <v>7887.32</v>
      </c>
      <c r="D9" s="61">
        <v>0.97699999999999998</v>
      </c>
      <c r="E9" s="61">
        <v>8075.9</v>
      </c>
      <c r="F9" s="61">
        <v>5</v>
      </c>
      <c r="G9" s="61">
        <v>0.2</v>
      </c>
      <c r="H9" s="61">
        <f t="shared" si="0"/>
        <v>25.884294871794872</v>
      </c>
      <c r="I9" s="61">
        <f t="shared" si="1"/>
        <v>672.99166666666667</v>
      </c>
      <c r="J9" s="61">
        <f t="shared" si="2"/>
        <v>1.0740525584738158E-5</v>
      </c>
      <c r="K9" s="62">
        <f t="shared" si="3"/>
        <v>25.884294871794872</v>
      </c>
      <c r="L9" s="61">
        <f>F9*$I$20-F9*I9</f>
        <v>-559.48333333333312</v>
      </c>
      <c r="M9" s="53"/>
      <c r="N9" s="53"/>
    </row>
    <row r="10" spans="1:14" x14ac:dyDescent="0.25">
      <c r="A10" s="61" t="s">
        <v>84</v>
      </c>
      <c r="B10" s="61" t="s">
        <v>85</v>
      </c>
      <c r="C10" s="61">
        <v>-17.61</v>
      </c>
      <c r="D10" s="61">
        <v>0.80200000000000005</v>
      </c>
      <c r="E10" s="61">
        <v>0</v>
      </c>
      <c r="F10" s="61">
        <v>5</v>
      </c>
      <c r="G10" s="61">
        <v>0.2</v>
      </c>
      <c r="H10" s="61">
        <f t="shared" si="0"/>
        <v>0</v>
      </c>
      <c r="I10" s="61">
        <f t="shared" si="1"/>
        <v>0</v>
      </c>
      <c r="J10" s="61">
        <f t="shared" si="2"/>
        <v>0</v>
      </c>
      <c r="K10" s="62">
        <f>H10</f>
        <v>0</v>
      </c>
      <c r="L10" s="61">
        <f t="shared" ref="L10:L17" si="4">F10*$I$20-F10*I10</f>
        <v>2805.4750000000004</v>
      </c>
      <c r="M10" s="53"/>
      <c r="N10" s="53"/>
    </row>
    <row r="11" spans="1:14" x14ac:dyDescent="0.25">
      <c r="A11" s="61" t="s">
        <v>86</v>
      </c>
      <c r="B11" s="61" t="s">
        <v>87</v>
      </c>
      <c r="C11" s="61">
        <v>1760.91</v>
      </c>
      <c r="D11" s="61">
        <v>0.97</v>
      </c>
      <c r="E11" s="61">
        <v>1814.95</v>
      </c>
      <c r="F11" s="61">
        <v>5</v>
      </c>
      <c r="G11" s="61">
        <v>0.2</v>
      </c>
      <c r="H11" s="61">
        <f t="shared" si="0"/>
        <v>5.8171474358974358</v>
      </c>
      <c r="I11" s="61">
        <f t="shared" si="1"/>
        <v>151.24583333333334</v>
      </c>
      <c r="J11" s="61">
        <f t="shared" si="2"/>
        <v>2.4137887925829341E-6</v>
      </c>
      <c r="K11" s="62">
        <f t="shared" si="3"/>
        <v>5.8171474358974358</v>
      </c>
      <c r="L11" s="61">
        <f t="shared" si="4"/>
        <v>2049.2458333333334</v>
      </c>
      <c r="M11" s="53"/>
      <c r="N11" s="53"/>
    </row>
    <row r="12" spans="1:14" x14ac:dyDescent="0.25">
      <c r="A12" s="61" t="s">
        <v>88</v>
      </c>
      <c r="B12" s="61" t="s">
        <v>89</v>
      </c>
      <c r="C12" s="61">
        <v>93.14</v>
      </c>
      <c r="D12" s="61">
        <v>0.88600000000000001</v>
      </c>
      <c r="E12" s="61">
        <v>105.15</v>
      </c>
      <c r="F12" s="61">
        <v>5</v>
      </c>
      <c r="G12" s="61">
        <v>0.2</v>
      </c>
      <c r="H12" s="61">
        <f t="shared" si="0"/>
        <v>0.33701923076923079</v>
      </c>
      <c r="I12" s="61">
        <f t="shared" si="1"/>
        <v>8.7625000000000011</v>
      </c>
      <c r="J12" s="61">
        <f t="shared" si="2"/>
        <v>1.3984401308030279E-7</v>
      </c>
      <c r="K12" s="62">
        <f t="shared" si="3"/>
        <v>0.33701923076923079</v>
      </c>
      <c r="L12" s="61">
        <f t="shared" si="4"/>
        <v>2761.6625000000004</v>
      </c>
      <c r="M12" s="53"/>
      <c r="N12" s="53"/>
    </row>
    <row r="13" spans="1:14" x14ac:dyDescent="0.25">
      <c r="A13" s="61" t="s">
        <v>90</v>
      </c>
      <c r="B13" s="61" t="s">
        <v>91</v>
      </c>
      <c r="C13" s="61">
        <v>425.42</v>
      </c>
      <c r="D13" s="61">
        <v>0.9</v>
      </c>
      <c r="E13" s="61">
        <v>472.84800000000001</v>
      </c>
      <c r="F13" s="61">
        <v>5</v>
      </c>
      <c r="G13" s="61">
        <v>0.2</v>
      </c>
      <c r="H13" s="61">
        <f t="shared" si="0"/>
        <v>1.5155384615384615</v>
      </c>
      <c r="I13" s="61">
        <f t="shared" si="1"/>
        <v>39.404000000000003</v>
      </c>
      <c r="J13" s="61">
        <f t="shared" si="2"/>
        <v>6.2886316592482183E-7</v>
      </c>
      <c r="K13" s="62">
        <f t="shared" si="3"/>
        <v>1.5155384615384615</v>
      </c>
      <c r="L13" s="61">
        <f t="shared" si="4"/>
        <v>2608.4550000000004</v>
      </c>
      <c r="M13" s="53"/>
      <c r="N13" s="53"/>
    </row>
    <row r="14" spans="1:14" x14ac:dyDescent="0.25">
      <c r="A14" s="61" t="s">
        <v>92</v>
      </c>
      <c r="B14" s="61" t="s">
        <v>93</v>
      </c>
      <c r="C14" s="61">
        <v>64.61</v>
      </c>
      <c r="D14" s="61">
        <v>0.91800000000000004</v>
      </c>
      <c r="E14" s="61">
        <v>70.412000000000006</v>
      </c>
      <c r="F14" s="61">
        <v>5</v>
      </c>
      <c r="G14" s="61">
        <v>0.2</v>
      </c>
      <c r="H14" s="61">
        <f t="shared" si="0"/>
        <v>0.22567948717948719</v>
      </c>
      <c r="I14" s="61">
        <f t="shared" si="1"/>
        <v>5.8676666666666675</v>
      </c>
      <c r="J14" s="61">
        <f t="shared" si="2"/>
        <v>9.3644285772803443E-8</v>
      </c>
      <c r="K14" s="62">
        <f t="shared" si="3"/>
        <v>0.22567948717948719</v>
      </c>
      <c r="L14" s="61">
        <f t="shared" si="4"/>
        <v>2776.1366666666672</v>
      </c>
      <c r="M14" s="53"/>
      <c r="N14" s="53"/>
    </row>
    <row r="15" spans="1:14" x14ac:dyDescent="0.25">
      <c r="A15" s="61" t="s">
        <v>94</v>
      </c>
      <c r="B15" s="61" t="s">
        <v>95</v>
      </c>
      <c r="C15" s="61">
        <v>-38.33</v>
      </c>
      <c r="D15" s="61">
        <v>0.79100000000000004</v>
      </c>
      <c r="E15" s="61">
        <v>0</v>
      </c>
      <c r="F15" s="61">
        <v>5</v>
      </c>
      <c r="G15" s="61">
        <v>0.2</v>
      </c>
      <c r="H15" s="61">
        <f t="shared" si="0"/>
        <v>0</v>
      </c>
      <c r="I15" s="61">
        <f t="shared" si="1"/>
        <v>0</v>
      </c>
      <c r="J15" s="61">
        <f t="shared" si="2"/>
        <v>0</v>
      </c>
      <c r="K15" s="62">
        <f t="shared" si="3"/>
        <v>0</v>
      </c>
      <c r="L15" s="61">
        <f t="shared" si="4"/>
        <v>2805.4750000000004</v>
      </c>
      <c r="M15" s="53"/>
      <c r="N15" s="53"/>
    </row>
    <row r="16" spans="1:14" x14ac:dyDescent="0.25">
      <c r="A16" s="61" t="s">
        <v>96</v>
      </c>
      <c r="B16" s="61" t="s">
        <v>97</v>
      </c>
      <c r="C16" s="61">
        <v>205.38</v>
      </c>
      <c r="D16" s="61">
        <v>0.93</v>
      </c>
      <c r="E16" s="61">
        <v>220.94399999999999</v>
      </c>
      <c r="F16" s="61">
        <v>5</v>
      </c>
      <c r="G16" s="61">
        <v>0.2</v>
      </c>
      <c r="H16" s="61">
        <f t="shared" si="0"/>
        <v>0.70815384615384613</v>
      </c>
      <c r="I16" s="61">
        <f t="shared" si="1"/>
        <v>18.411999999999999</v>
      </c>
      <c r="J16" s="61">
        <f t="shared" si="2"/>
        <v>2.938439907371794E-7</v>
      </c>
      <c r="K16" s="62">
        <f t="shared" si="3"/>
        <v>0.70815384615384613</v>
      </c>
      <c r="L16" s="61">
        <f t="shared" si="4"/>
        <v>2713.4150000000004</v>
      </c>
      <c r="M16" s="53"/>
      <c r="N16" s="53"/>
    </row>
    <row r="17" spans="1:14" x14ac:dyDescent="0.25">
      <c r="A17" s="61" t="s">
        <v>98</v>
      </c>
      <c r="B17" s="61" t="s">
        <v>99</v>
      </c>
      <c r="C17" s="61">
        <v>-30.53</v>
      </c>
      <c r="D17" s="61">
        <v>0.78200000000000003</v>
      </c>
      <c r="E17" s="61">
        <v>0</v>
      </c>
      <c r="F17" s="61">
        <v>5</v>
      </c>
      <c r="G17" s="61">
        <v>0.2</v>
      </c>
      <c r="H17" s="61">
        <f t="shared" si="0"/>
        <v>0</v>
      </c>
      <c r="I17" s="61">
        <f t="shared" si="1"/>
        <v>0</v>
      </c>
      <c r="J17" s="61">
        <f t="shared" si="2"/>
        <v>0</v>
      </c>
      <c r="K17" s="62">
        <f t="shared" si="3"/>
        <v>0</v>
      </c>
      <c r="L17" s="61">
        <f t="shared" si="4"/>
        <v>2805.4750000000004</v>
      </c>
      <c r="M17" s="53"/>
      <c r="N17" s="53"/>
    </row>
    <row r="18" spans="1:14" ht="15.75" thickBot="1" x14ac:dyDescent="0.3">
      <c r="A18" s="63"/>
      <c r="B18" s="63"/>
      <c r="C18" s="63"/>
      <c r="D18" s="63"/>
      <c r="E18" s="63"/>
      <c r="F18" s="63"/>
      <c r="G18" s="63"/>
      <c r="H18" s="63" t="s">
        <v>113</v>
      </c>
      <c r="I18" s="63"/>
      <c r="J18" s="66" t="s">
        <v>114</v>
      </c>
      <c r="K18" s="67">
        <f>SUM(K8:K17)</f>
        <v>57.72677564102564</v>
      </c>
      <c r="L18" s="66">
        <f>SUM(L8:L17)</f>
        <v>20550.269166666672</v>
      </c>
      <c r="M18" s="53"/>
      <c r="N18" s="53"/>
    </row>
    <row r="19" spans="1:14" ht="15.75" thickTop="1" x14ac:dyDescent="0.25">
      <c r="G19" s="53" t="s">
        <v>79</v>
      </c>
      <c r="H19" s="53"/>
      <c r="I19" s="53">
        <v>5610.95</v>
      </c>
      <c r="J19" s="57">
        <f>I19/62659.1/1000</f>
        <v>8.9547248524156903E-5</v>
      </c>
    </row>
    <row r="20" spans="1:14" x14ac:dyDescent="0.25">
      <c r="G20" s="53" t="s">
        <v>111</v>
      </c>
      <c r="H20" s="53"/>
      <c r="I20" s="53">
        <v>561.09500000000003</v>
      </c>
      <c r="J20" s="53"/>
    </row>
    <row r="21" spans="1:14" x14ac:dyDescent="0.25">
      <c r="G21" s="53" t="s">
        <v>112</v>
      </c>
      <c r="H21" s="53"/>
      <c r="I21" s="54"/>
      <c r="J21" s="56">
        <v>1.8700000000000001E-2</v>
      </c>
    </row>
    <row r="22" spans="1:14" x14ac:dyDescent="0.25">
      <c r="G22" s="53"/>
      <c r="H22" s="53">
        <f>53.5/1000</f>
        <v>5.3499999999999999E-2</v>
      </c>
      <c r="I22" s="53">
        <f>H22*I21</f>
        <v>0</v>
      </c>
      <c r="J22" s="53"/>
    </row>
    <row r="24" spans="1:14" ht="18.75" x14ac:dyDescent="0.25">
      <c r="A24" s="80" t="s">
        <v>155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4" x14ac:dyDescent="0.25">
      <c r="A25" s="71" t="s">
        <v>154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</row>
    <row r="26" spans="1:14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4" ht="18.75" x14ac:dyDescent="0.25">
      <c r="A27" s="81" t="s">
        <v>106</v>
      </c>
      <c r="B27" s="82"/>
      <c r="C27" s="82"/>
      <c r="D27" s="83"/>
      <c r="E27" s="84" t="s">
        <v>107</v>
      </c>
      <c r="F27" s="85"/>
      <c r="G27" s="85"/>
      <c r="H27" s="85"/>
      <c r="I27" s="85"/>
      <c r="J27" s="85"/>
      <c r="K27" s="85"/>
      <c r="L27" s="86"/>
      <c r="M27" s="53"/>
    </row>
    <row r="28" spans="1:14" x14ac:dyDescent="0.25">
      <c r="A28" s="46" t="s">
        <v>117</v>
      </c>
      <c r="B28" s="47" t="s">
        <v>118</v>
      </c>
      <c r="C28" s="47" t="s">
        <v>119</v>
      </c>
      <c r="D28" s="48" t="s">
        <v>70</v>
      </c>
      <c r="E28" s="49" t="s">
        <v>105</v>
      </c>
      <c r="F28" s="50" t="s">
        <v>100</v>
      </c>
      <c r="G28" s="51" t="s">
        <v>101</v>
      </c>
      <c r="H28" s="52" t="s">
        <v>102</v>
      </c>
      <c r="I28" s="47" t="s">
        <v>103</v>
      </c>
      <c r="J28" s="53" t="s">
        <v>108</v>
      </c>
      <c r="K28" s="53" t="s">
        <v>109</v>
      </c>
      <c r="L28" s="53" t="s">
        <v>110</v>
      </c>
      <c r="M28" s="53"/>
    </row>
    <row r="29" spans="1:14" x14ac:dyDescent="0.25">
      <c r="A29" s="55" t="s">
        <v>76</v>
      </c>
      <c r="B29" s="55" t="s">
        <v>77</v>
      </c>
      <c r="C29" s="55">
        <v>22.02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4" x14ac:dyDescent="0.25">
      <c r="A30" s="55" t="s">
        <v>78</v>
      </c>
      <c r="B30" s="90" t="s">
        <v>165</v>
      </c>
      <c r="C30" s="55">
        <v>6329.81</v>
      </c>
      <c r="D30" s="55">
        <v>0.97099999999999997</v>
      </c>
      <c r="E30" s="53">
        <v>6518.24</v>
      </c>
      <c r="F30" s="53">
        <v>5</v>
      </c>
      <c r="G30" s="53">
        <v>0.2</v>
      </c>
      <c r="H30" s="53">
        <f>E30/(60*($F$7+$G$7))</f>
        <v>20.891794871794872</v>
      </c>
      <c r="I30" s="53">
        <f>E30/(60*G30)</f>
        <v>543.18666666666661</v>
      </c>
      <c r="J30" s="56">
        <f>I30/62659.1/1000</f>
        <v>8.6689190662915153E-6</v>
      </c>
      <c r="K30" s="53">
        <f>H30</f>
        <v>20.891794871794872</v>
      </c>
      <c r="L30" s="53">
        <f>$I$20*5-I30*5</f>
        <v>89.541666666667425</v>
      </c>
      <c r="M30" s="53"/>
    </row>
    <row r="31" spans="1:14" x14ac:dyDescent="0.25">
      <c r="A31" s="55" t="s">
        <v>80</v>
      </c>
      <c r="B31" s="55" t="s">
        <v>167</v>
      </c>
      <c r="C31" s="55">
        <v>5236.47</v>
      </c>
      <c r="D31" s="55">
        <v>0.97099999999999997</v>
      </c>
      <c r="E31" s="53">
        <v>5390.91</v>
      </c>
      <c r="F31" s="53">
        <v>5</v>
      </c>
      <c r="G31" s="53">
        <v>0.2</v>
      </c>
      <c r="H31" s="53">
        <f t="shared" ref="H31:H56" si="5">E31/(60*($F$7+$G$7))</f>
        <v>17.278557692307693</v>
      </c>
      <c r="I31" s="53">
        <f t="shared" ref="I31:I56" si="6">E31/(60*G31)</f>
        <v>449.24250000000001</v>
      </c>
      <c r="J31" s="56">
        <f t="shared" ref="J31:J56" si="7">I31/62659.1/1000</f>
        <v>7.1696289924368531E-6</v>
      </c>
      <c r="K31" s="53">
        <f t="shared" ref="K31:K56" si="8">H31</f>
        <v>17.278557692307693</v>
      </c>
      <c r="L31" s="53">
        <f>$I$20*5-I31*5</f>
        <v>559.26250000000027</v>
      </c>
      <c r="M31" s="53"/>
    </row>
    <row r="32" spans="1:14" x14ac:dyDescent="0.25">
      <c r="A32" s="55" t="s">
        <v>82</v>
      </c>
      <c r="B32" s="55" t="s">
        <v>120</v>
      </c>
      <c r="C32" s="55">
        <v>47.17</v>
      </c>
      <c r="D32" s="55">
        <v>0.73699999999999999</v>
      </c>
      <c r="E32" s="53">
        <v>63.994999999999997</v>
      </c>
      <c r="F32" s="53">
        <v>5</v>
      </c>
      <c r="G32" s="53">
        <v>0.2</v>
      </c>
      <c r="H32" s="53">
        <f t="shared" si="5"/>
        <v>0.20511217948717947</v>
      </c>
      <c r="I32" s="53">
        <f t="shared" si="6"/>
        <v>5.3329166666666667</v>
      </c>
      <c r="J32" s="56">
        <f t="shared" si="7"/>
        <v>8.5110010623623172E-8</v>
      </c>
      <c r="K32" s="53">
        <f t="shared" si="8"/>
        <v>0.20511217948717947</v>
      </c>
      <c r="L32" s="53">
        <v>0</v>
      </c>
      <c r="M32" s="53"/>
    </row>
    <row r="33" spans="1:13" x14ac:dyDescent="0.25">
      <c r="A33" s="55" t="s">
        <v>84</v>
      </c>
      <c r="B33" s="55" t="s">
        <v>121</v>
      </c>
      <c r="C33" s="55">
        <v>584.28</v>
      </c>
      <c r="D33" s="55">
        <v>0.86599999999999999</v>
      </c>
      <c r="E33" s="53">
        <v>674.60500000000002</v>
      </c>
      <c r="F33" s="53">
        <v>5</v>
      </c>
      <c r="G33" s="53">
        <v>0.2</v>
      </c>
      <c r="H33" s="53">
        <f t="shared" si="5"/>
        <v>2.1621955128205128</v>
      </c>
      <c r="I33" s="53">
        <f t="shared" si="6"/>
        <v>56.217083333333335</v>
      </c>
      <c r="J33" s="56">
        <f t="shared" si="7"/>
        <v>8.9718944787482326E-7</v>
      </c>
      <c r="K33" s="53">
        <f t="shared" si="8"/>
        <v>2.1621955128205128</v>
      </c>
      <c r="L33" s="53">
        <v>0</v>
      </c>
      <c r="M33" s="53"/>
    </row>
    <row r="34" spans="1:13" x14ac:dyDescent="0.25">
      <c r="A34" s="55" t="s">
        <v>86</v>
      </c>
      <c r="B34" s="55" t="s">
        <v>168</v>
      </c>
      <c r="C34" s="55">
        <v>29.3</v>
      </c>
      <c r="D34" s="55">
        <v>0.81699999999999995</v>
      </c>
      <c r="E34" s="53">
        <v>35.843000000000004</v>
      </c>
      <c r="F34" s="53">
        <v>5</v>
      </c>
      <c r="G34" s="53">
        <v>0.2</v>
      </c>
      <c r="H34" s="53">
        <f t="shared" si="5"/>
        <v>0.11488141025641027</v>
      </c>
      <c r="I34" s="53">
        <f t="shared" si="6"/>
        <v>2.9869166666666671</v>
      </c>
      <c r="J34" s="56">
        <f t="shared" si="7"/>
        <v>4.7669319646574356E-8</v>
      </c>
      <c r="K34" s="53">
        <f t="shared" si="8"/>
        <v>0.11488141025641027</v>
      </c>
      <c r="L34" s="53">
        <f>$I$20*5-I34*5</f>
        <v>2790.5404166666672</v>
      </c>
      <c r="M34" s="53"/>
    </row>
    <row r="35" spans="1:13" x14ac:dyDescent="0.25">
      <c r="A35" s="55" t="s">
        <v>88</v>
      </c>
      <c r="B35" s="55" t="s">
        <v>169</v>
      </c>
      <c r="C35" s="55">
        <v>34.31</v>
      </c>
      <c r="D35" s="55">
        <v>0.85399999999999998</v>
      </c>
      <c r="E35" s="53">
        <v>40.182000000000002</v>
      </c>
      <c r="F35" s="53">
        <v>5</v>
      </c>
      <c r="G35" s="53">
        <v>0.2</v>
      </c>
      <c r="H35" s="53">
        <f t="shared" si="5"/>
        <v>0.12878846153846155</v>
      </c>
      <c r="I35" s="53">
        <f t="shared" si="6"/>
        <v>3.3485</v>
      </c>
      <c r="J35" s="56">
        <f t="shared" si="7"/>
        <v>5.3439963229602725E-8</v>
      </c>
      <c r="K35" s="53">
        <f t="shared" si="8"/>
        <v>0.12878846153846155</v>
      </c>
      <c r="L35" s="53">
        <f t="shared" ref="L35:L40" si="9">$I$20*5-I35*5</f>
        <v>2788.7325000000005</v>
      </c>
      <c r="M35" s="53"/>
    </row>
    <row r="36" spans="1:13" x14ac:dyDescent="0.25">
      <c r="A36" s="55" t="s">
        <v>90</v>
      </c>
      <c r="B36" s="55" t="s">
        <v>170</v>
      </c>
      <c r="C36" s="55">
        <v>1.69</v>
      </c>
      <c r="D36" s="55">
        <v>0.73</v>
      </c>
      <c r="E36" s="53">
        <v>2.3159999999999998</v>
      </c>
      <c r="F36" s="53">
        <v>5</v>
      </c>
      <c r="G36" s="53">
        <v>0.2</v>
      </c>
      <c r="H36" s="53">
        <f t="shared" si="5"/>
        <v>7.4230769230769229E-3</v>
      </c>
      <c r="I36" s="53">
        <f t="shared" si="6"/>
        <v>0.19299999999999998</v>
      </c>
      <c r="J36" s="56">
        <f t="shared" si="7"/>
        <v>3.0801591468757132E-9</v>
      </c>
      <c r="K36" s="53">
        <f t="shared" si="8"/>
        <v>7.4230769230769229E-3</v>
      </c>
      <c r="L36" s="53">
        <f t="shared" si="9"/>
        <v>2804.51</v>
      </c>
      <c r="M36" s="53"/>
    </row>
    <row r="37" spans="1:13" x14ac:dyDescent="0.25">
      <c r="A37" s="55" t="s">
        <v>92</v>
      </c>
      <c r="B37" s="55" t="s">
        <v>171</v>
      </c>
      <c r="C37" s="55">
        <v>16.39</v>
      </c>
      <c r="D37" s="55">
        <v>0.83399999999999996</v>
      </c>
      <c r="E37" s="53">
        <v>19.641999999999999</v>
      </c>
      <c r="F37" s="53">
        <v>5</v>
      </c>
      <c r="G37" s="53">
        <v>0.2</v>
      </c>
      <c r="H37" s="53">
        <f t="shared" si="5"/>
        <v>6.2955128205128205E-2</v>
      </c>
      <c r="I37" s="53">
        <f t="shared" si="6"/>
        <v>1.6368333333333334</v>
      </c>
      <c r="J37" s="56">
        <f t="shared" si="7"/>
        <v>2.6122835044444198E-8</v>
      </c>
      <c r="K37" s="53">
        <f t="shared" si="8"/>
        <v>6.2955128205128205E-2</v>
      </c>
      <c r="L37" s="53">
        <f t="shared" si="9"/>
        <v>2797.2908333333339</v>
      </c>
      <c r="M37" s="53"/>
    </row>
    <row r="38" spans="1:13" x14ac:dyDescent="0.25">
      <c r="A38" s="55" t="s">
        <v>94</v>
      </c>
      <c r="B38" s="55" t="s">
        <v>172</v>
      </c>
      <c r="C38" s="55">
        <v>12.81</v>
      </c>
      <c r="D38" s="55">
        <v>0.78900000000000003</v>
      </c>
      <c r="E38" s="53">
        <v>16.236000000000001</v>
      </c>
      <c r="F38" s="53">
        <v>5</v>
      </c>
      <c r="G38" s="53">
        <v>0.2</v>
      </c>
      <c r="H38" s="53">
        <f t="shared" si="5"/>
        <v>5.203846153846154E-2</v>
      </c>
      <c r="I38" s="53">
        <f t="shared" si="6"/>
        <v>1.353</v>
      </c>
      <c r="J38" s="56">
        <f t="shared" si="7"/>
        <v>2.1593032775766011E-8</v>
      </c>
      <c r="K38" s="53">
        <f t="shared" si="8"/>
        <v>5.203846153846154E-2</v>
      </c>
      <c r="L38" s="53">
        <f t="shared" si="9"/>
        <v>2798.7100000000005</v>
      </c>
      <c r="M38" s="53"/>
    </row>
    <row r="39" spans="1:13" x14ac:dyDescent="0.25">
      <c r="A39" s="55" t="s">
        <v>96</v>
      </c>
      <c r="B39" s="55" t="s">
        <v>173</v>
      </c>
      <c r="C39" s="55">
        <v>2.19</v>
      </c>
      <c r="D39" s="55">
        <v>0.752</v>
      </c>
      <c r="E39" s="53">
        <v>2.9129999999999998</v>
      </c>
      <c r="F39" s="53">
        <v>5</v>
      </c>
      <c r="G39" s="53">
        <v>0.2</v>
      </c>
      <c r="H39" s="53">
        <f t="shared" si="5"/>
        <v>9.3365384615384604E-3</v>
      </c>
      <c r="I39" s="53">
        <f t="shared" si="6"/>
        <v>0.24274999999999999</v>
      </c>
      <c r="J39" s="56">
        <f t="shared" si="7"/>
        <v>3.8741379943216547E-9</v>
      </c>
      <c r="K39" s="53">
        <f t="shared" si="8"/>
        <v>9.3365384615384604E-3</v>
      </c>
      <c r="L39" s="53">
        <f t="shared" si="9"/>
        <v>2804.2612500000005</v>
      </c>
      <c r="M39" s="53"/>
    </row>
    <row r="40" spans="1:13" x14ac:dyDescent="0.25">
      <c r="A40" s="55" t="s">
        <v>98</v>
      </c>
      <c r="B40" s="55" t="s">
        <v>166</v>
      </c>
      <c r="C40" s="55">
        <v>15.6</v>
      </c>
      <c r="D40" s="55">
        <v>0.77900000000000003</v>
      </c>
      <c r="E40" s="53">
        <v>20.024000000000001</v>
      </c>
      <c r="F40" s="53">
        <v>5</v>
      </c>
      <c r="G40" s="53">
        <v>0.2</v>
      </c>
      <c r="H40" s="53">
        <f t="shared" si="5"/>
        <v>6.4179487179487182E-2</v>
      </c>
      <c r="I40" s="53">
        <f t="shared" si="6"/>
        <v>1.6686666666666667</v>
      </c>
      <c r="J40" s="56">
        <f t="shared" si="7"/>
        <v>2.6630875110984145E-8</v>
      </c>
      <c r="K40" s="53">
        <f t="shared" si="8"/>
        <v>6.4179487179487182E-2</v>
      </c>
      <c r="L40" s="53">
        <f t="shared" si="9"/>
        <v>2797.1316666666671</v>
      </c>
      <c r="M40" s="53"/>
    </row>
    <row r="41" spans="1:13" x14ac:dyDescent="0.25">
      <c r="A41" s="55" t="s">
        <v>122</v>
      </c>
      <c r="B41" s="55" t="s">
        <v>123</v>
      </c>
      <c r="C41" s="55">
        <v>53.63</v>
      </c>
      <c r="D41" s="55">
        <v>0.58299999999999996</v>
      </c>
      <c r="E41" s="53">
        <v>92.028000000000006</v>
      </c>
      <c r="F41" s="53">
        <v>5</v>
      </c>
      <c r="G41" s="53">
        <v>0.2</v>
      </c>
      <c r="H41" s="53">
        <f t="shared" si="5"/>
        <v>0.2949615384615385</v>
      </c>
      <c r="I41" s="53">
        <f t="shared" si="6"/>
        <v>7.6690000000000005</v>
      </c>
      <c r="J41" s="56">
        <f t="shared" si="7"/>
        <v>1.223924378103101E-7</v>
      </c>
      <c r="K41" s="53">
        <f t="shared" si="8"/>
        <v>0.2949615384615385</v>
      </c>
      <c r="L41" s="53">
        <v>0</v>
      </c>
      <c r="M41" s="53"/>
    </row>
    <row r="42" spans="1:13" x14ac:dyDescent="0.25">
      <c r="A42" s="55" t="s">
        <v>124</v>
      </c>
      <c r="B42" s="55" t="s">
        <v>125</v>
      </c>
      <c r="C42" s="55">
        <v>7851.29</v>
      </c>
      <c r="D42" s="55">
        <v>0.97799999999999998</v>
      </c>
      <c r="E42" s="53">
        <v>8025.4</v>
      </c>
      <c r="F42" s="53">
        <v>5</v>
      </c>
      <c r="G42" s="53">
        <v>0.2</v>
      </c>
      <c r="H42" s="53">
        <f t="shared" si="5"/>
        <v>25.722435897435897</v>
      </c>
      <c r="I42" s="53">
        <f t="shared" si="6"/>
        <v>668.7833333333333</v>
      </c>
      <c r="J42" s="56">
        <f t="shared" si="7"/>
        <v>1.0673363219920703E-5</v>
      </c>
      <c r="K42" s="53">
        <f t="shared" si="8"/>
        <v>25.722435897435897</v>
      </c>
      <c r="L42" s="53">
        <f>$I$20*5-I42*4.5-L30</f>
        <v>-293.5916666666667</v>
      </c>
      <c r="M42" s="53"/>
    </row>
    <row r="43" spans="1:13" x14ac:dyDescent="0.25">
      <c r="A43" s="55" t="s">
        <v>126</v>
      </c>
      <c r="B43" s="55" t="s">
        <v>127</v>
      </c>
      <c r="C43" s="55">
        <v>6803.99</v>
      </c>
      <c r="D43" s="55">
        <v>0.97299999999999998</v>
      </c>
      <c r="E43" s="53">
        <v>6994.68</v>
      </c>
      <c r="F43" s="53">
        <v>5</v>
      </c>
      <c r="G43" s="53">
        <v>0.2</v>
      </c>
      <c r="H43" s="53">
        <f t="shared" si="5"/>
        <v>22.418846153846154</v>
      </c>
      <c r="I43" s="53">
        <f t="shared" si="6"/>
        <v>582.89</v>
      </c>
      <c r="J43" s="56">
        <f t="shared" si="7"/>
        <v>9.3025594047791943E-6</v>
      </c>
      <c r="K43" s="53">
        <f t="shared" si="8"/>
        <v>22.418846153846154</v>
      </c>
      <c r="L43" s="53">
        <f>$I$20*5-I43*4.5-L31</f>
        <v>-376.79250000000002</v>
      </c>
      <c r="M43" s="53"/>
    </row>
    <row r="44" spans="1:13" x14ac:dyDescent="0.25">
      <c r="A44" s="55" t="s">
        <v>128</v>
      </c>
      <c r="B44" s="55" t="s">
        <v>129</v>
      </c>
      <c r="C44" s="55">
        <v>145.19</v>
      </c>
      <c r="D44" s="55">
        <v>0.90600000000000003</v>
      </c>
      <c r="E44" s="53">
        <v>160.279</v>
      </c>
      <c r="F44" s="53">
        <v>5</v>
      </c>
      <c r="G44" s="53">
        <v>0.2</v>
      </c>
      <c r="H44" s="53">
        <f t="shared" si="5"/>
        <v>0.51371474358974356</v>
      </c>
      <c r="I44" s="53">
        <f t="shared" si="6"/>
        <v>13.356583333333333</v>
      </c>
      <c r="J44" s="56">
        <f t="shared" si="7"/>
        <v>2.1316270634805373E-7</v>
      </c>
      <c r="K44" s="53">
        <f t="shared" si="8"/>
        <v>0.51371474358974356</v>
      </c>
      <c r="L44" s="53">
        <f>$I$20*5-I44*4.5-L8</f>
        <v>2960.9578750000001</v>
      </c>
      <c r="M44" s="53"/>
    </row>
    <row r="45" spans="1:13" x14ac:dyDescent="0.25">
      <c r="A45" s="55" t="s">
        <v>130</v>
      </c>
      <c r="B45" s="55" t="s">
        <v>131</v>
      </c>
      <c r="C45" s="55">
        <v>612.92999999999995</v>
      </c>
      <c r="D45" s="55">
        <v>0.96199999999999997</v>
      </c>
      <c r="E45" s="53">
        <v>636.99300000000005</v>
      </c>
      <c r="F45" s="53">
        <v>5</v>
      </c>
      <c r="G45" s="53">
        <v>0.2</v>
      </c>
      <c r="H45" s="53">
        <f t="shared" si="5"/>
        <v>2.0416442307692311</v>
      </c>
      <c r="I45" s="53">
        <f t="shared" si="6"/>
        <v>53.082750000000004</v>
      </c>
      <c r="J45" s="56">
        <f t="shared" si="7"/>
        <v>8.4716745053791081E-7</v>
      </c>
      <c r="K45" s="53">
        <f t="shared" si="8"/>
        <v>2.0416442307692311</v>
      </c>
      <c r="L45" s="53">
        <f t="shared" ref="L31:L56" si="10">$I$20*5-I46*5</f>
        <v>-533.56249999999955</v>
      </c>
      <c r="M45" s="53"/>
    </row>
    <row r="46" spans="1:13" x14ac:dyDescent="0.25">
      <c r="A46" s="55" t="s">
        <v>132</v>
      </c>
      <c r="B46" s="55" t="s">
        <v>133</v>
      </c>
      <c r="C46" s="55">
        <v>7828.65</v>
      </c>
      <c r="D46" s="55">
        <v>0.97699999999999998</v>
      </c>
      <c r="E46" s="53">
        <v>8013.69</v>
      </c>
      <c r="F46" s="53">
        <v>5</v>
      </c>
      <c r="G46" s="53">
        <v>0.2</v>
      </c>
      <c r="H46" s="53">
        <f t="shared" si="5"/>
        <v>25.684903846153844</v>
      </c>
      <c r="I46" s="53">
        <f t="shared" si="6"/>
        <v>667.8075</v>
      </c>
      <c r="J46" s="56">
        <f t="shared" si="7"/>
        <v>1.0657789530969963E-5</v>
      </c>
      <c r="K46" s="53">
        <f t="shared" si="8"/>
        <v>25.684903846153844</v>
      </c>
      <c r="L46" s="53">
        <f t="shared" si="10"/>
        <v>2737.1520833333338</v>
      </c>
      <c r="M46" s="53"/>
    </row>
    <row r="47" spans="1:13" x14ac:dyDescent="0.25">
      <c r="A47" s="55" t="s">
        <v>134</v>
      </c>
      <c r="B47" s="55" t="s">
        <v>135</v>
      </c>
      <c r="C47" s="55">
        <v>146.80000000000001</v>
      </c>
      <c r="D47" s="55">
        <v>0.89500000000000002</v>
      </c>
      <c r="E47" s="53">
        <v>163.97499999999999</v>
      </c>
      <c r="F47" s="53">
        <v>5</v>
      </c>
      <c r="G47" s="53">
        <v>0.2</v>
      </c>
      <c r="H47" s="53">
        <f t="shared" si="5"/>
        <v>0.5255608974358974</v>
      </c>
      <c r="I47" s="53">
        <f t="shared" si="6"/>
        <v>13.664583333333333</v>
      </c>
      <c r="J47" s="56">
        <f t="shared" si="7"/>
        <v>2.1807819348400046E-7</v>
      </c>
      <c r="K47" s="53">
        <f t="shared" si="8"/>
        <v>0.5255608974358974</v>
      </c>
      <c r="L47" s="53">
        <f t="shared" si="10"/>
        <v>2778.7900000000004</v>
      </c>
      <c r="M47" s="53"/>
    </row>
    <row r="48" spans="1:13" x14ac:dyDescent="0.25">
      <c r="A48" s="55" t="s">
        <v>136</v>
      </c>
      <c r="B48" s="55" t="s">
        <v>137</v>
      </c>
      <c r="C48" s="55">
        <v>54.74</v>
      </c>
      <c r="D48" s="55">
        <v>0.85499999999999998</v>
      </c>
      <c r="E48" s="53">
        <v>64.043999999999997</v>
      </c>
      <c r="F48" s="53">
        <v>5</v>
      </c>
      <c r="G48" s="53">
        <v>0.2</v>
      </c>
      <c r="H48" s="53">
        <f t="shared" si="5"/>
        <v>0.20526923076923076</v>
      </c>
      <c r="I48" s="53">
        <f t="shared" si="6"/>
        <v>5.3369999999999997</v>
      </c>
      <c r="J48" s="56">
        <f t="shared" si="7"/>
        <v>8.5175178066713378E-8</v>
      </c>
      <c r="K48" s="53">
        <f t="shared" si="8"/>
        <v>0.20526923076923076</v>
      </c>
      <c r="L48" s="53">
        <f t="shared" si="10"/>
        <v>2794.6320833333339</v>
      </c>
      <c r="M48" s="53"/>
    </row>
    <row r="49" spans="1:13" x14ac:dyDescent="0.25">
      <c r="A49" s="55" t="s">
        <v>138</v>
      </c>
      <c r="B49" s="55" t="s">
        <v>139</v>
      </c>
      <c r="C49" s="55">
        <v>20.2</v>
      </c>
      <c r="D49" s="55">
        <v>0.77600000000000002</v>
      </c>
      <c r="E49" s="53">
        <v>26.023</v>
      </c>
      <c r="F49" s="53">
        <v>5</v>
      </c>
      <c r="G49" s="53">
        <v>0.2</v>
      </c>
      <c r="H49" s="53">
        <f t="shared" si="5"/>
        <v>8.3407051282051281E-2</v>
      </c>
      <c r="I49" s="53">
        <f t="shared" si="6"/>
        <v>2.1685833333333333</v>
      </c>
      <c r="J49" s="56">
        <f t="shared" si="7"/>
        <v>3.4609232072170414E-8</v>
      </c>
      <c r="K49" s="53">
        <f t="shared" si="8"/>
        <v>8.3407051282051281E-2</v>
      </c>
      <c r="L49" s="53">
        <f t="shared" si="10"/>
        <v>2798.1854166666672</v>
      </c>
      <c r="M49" s="53"/>
    </row>
    <row r="50" spans="1:13" x14ac:dyDescent="0.25">
      <c r="A50" s="55" t="s">
        <v>140</v>
      </c>
      <c r="B50" s="55" t="s">
        <v>141</v>
      </c>
      <c r="C50" s="55">
        <v>13.7</v>
      </c>
      <c r="D50" s="55">
        <v>0.78300000000000003</v>
      </c>
      <c r="E50" s="53">
        <v>17.495000000000001</v>
      </c>
      <c r="F50" s="53">
        <v>5</v>
      </c>
      <c r="G50" s="53">
        <v>0.2</v>
      </c>
      <c r="H50" s="53">
        <f t="shared" si="5"/>
        <v>5.6073717948717954E-2</v>
      </c>
      <c r="I50" s="53">
        <f t="shared" si="6"/>
        <v>1.4579166666666667</v>
      </c>
      <c r="J50" s="56">
        <f t="shared" si="7"/>
        <v>2.3267437078838776E-8</v>
      </c>
      <c r="K50" s="53">
        <f t="shared" si="8"/>
        <v>5.6073717948717954E-2</v>
      </c>
      <c r="L50" s="53">
        <f t="shared" si="10"/>
        <v>2805.4750000000004</v>
      </c>
      <c r="M50" s="53"/>
    </row>
    <row r="51" spans="1:13" x14ac:dyDescent="0.25">
      <c r="A51" s="55" t="s">
        <v>142</v>
      </c>
      <c r="B51" s="55" t="s">
        <v>143</v>
      </c>
      <c r="C51" s="55">
        <v>-0.51</v>
      </c>
      <c r="D51" s="55">
        <v>0.71299999999999997</v>
      </c>
      <c r="E51" s="53">
        <v>0</v>
      </c>
      <c r="F51" s="53">
        <v>5</v>
      </c>
      <c r="G51" s="53">
        <v>0.2</v>
      </c>
      <c r="H51" s="53">
        <f t="shared" si="5"/>
        <v>0</v>
      </c>
      <c r="I51" s="53">
        <f t="shared" si="6"/>
        <v>0</v>
      </c>
      <c r="J51" s="56">
        <f t="shared" si="7"/>
        <v>0</v>
      </c>
      <c r="K51" s="53">
        <f t="shared" si="8"/>
        <v>0</v>
      </c>
      <c r="L51" s="53">
        <f t="shared" si="10"/>
        <v>2772.8245833333335</v>
      </c>
      <c r="M51" s="53"/>
    </row>
    <row r="52" spans="1:13" x14ac:dyDescent="0.25">
      <c r="A52" s="55" t="s">
        <v>144</v>
      </c>
      <c r="B52" s="55" t="s">
        <v>145</v>
      </c>
      <c r="C52" s="55">
        <v>52.91</v>
      </c>
      <c r="D52" s="55">
        <v>0.67500000000000004</v>
      </c>
      <c r="E52" s="53">
        <v>78.361000000000004</v>
      </c>
      <c r="F52" s="53">
        <v>5</v>
      </c>
      <c r="G52" s="53">
        <v>0.2</v>
      </c>
      <c r="H52" s="53">
        <f t="shared" si="5"/>
        <v>0.25115705128205129</v>
      </c>
      <c r="I52" s="53">
        <f t="shared" si="6"/>
        <v>6.5300833333333337</v>
      </c>
      <c r="J52" s="56">
        <f t="shared" si="7"/>
        <v>1.0421604097941615E-7</v>
      </c>
      <c r="K52" s="53">
        <f t="shared" si="8"/>
        <v>0.25115705128205129</v>
      </c>
      <c r="L52" s="53">
        <f t="shared" si="10"/>
        <v>2674.5675000000006</v>
      </c>
      <c r="M52" s="53"/>
    </row>
    <row r="53" spans="1:13" x14ac:dyDescent="0.25">
      <c r="A53" s="55" t="s">
        <v>146</v>
      </c>
      <c r="B53" s="55" t="s">
        <v>147</v>
      </c>
      <c r="C53" s="55">
        <v>279.35000000000002</v>
      </c>
      <c r="D53" s="55">
        <v>0.88900000000000001</v>
      </c>
      <c r="E53" s="53">
        <v>314.178</v>
      </c>
      <c r="F53" s="53">
        <v>5</v>
      </c>
      <c r="G53" s="53">
        <v>0.2</v>
      </c>
      <c r="H53" s="53">
        <f t="shared" si="5"/>
        <v>1.0069807692307693</v>
      </c>
      <c r="I53" s="53">
        <f t="shared" si="6"/>
        <v>26.1815</v>
      </c>
      <c r="J53" s="56">
        <f t="shared" si="7"/>
        <v>4.1784034561619939E-7</v>
      </c>
      <c r="K53" s="53">
        <f t="shared" si="8"/>
        <v>1.0069807692307693</v>
      </c>
      <c r="L53" s="53">
        <f t="shared" si="10"/>
        <v>2800.0816666666669</v>
      </c>
      <c r="M53" s="53"/>
    </row>
    <row r="54" spans="1:13" x14ac:dyDescent="0.25">
      <c r="A54" s="55" t="s">
        <v>148</v>
      </c>
      <c r="B54" s="55" t="s">
        <v>149</v>
      </c>
      <c r="C54" s="55">
        <v>10.19</v>
      </c>
      <c r="D54" s="55">
        <v>0.78700000000000003</v>
      </c>
      <c r="E54" s="53">
        <v>12.944000000000001</v>
      </c>
      <c r="F54" s="53">
        <v>5</v>
      </c>
      <c r="G54" s="53">
        <v>0.2</v>
      </c>
      <c r="H54" s="53">
        <f t="shared" si="5"/>
        <v>4.148717948717949E-2</v>
      </c>
      <c r="I54" s="53">
        <f t="shared" si="6"/>
        <v>1.0786666666666667</v>
      </c>
      <c r="J54" s="56">
        <f t="shared" si="7"/>
        <v>1.721484455835891E-8</v>
      </c>
      <c r="K54" s="53">
        <f t="shared" si="8"/>
        <v>4.148717948717949E-2</v>
      </c>
      <c r="L54" s="53">
        <f t="shared" si="10"/>
        <v>2510.2970833333338</v>
      </c>
      <c r="M54" s="53"/>
    </row>
    <row r="55" spans="1:13" x14ac:dyDescent="0.25">
      <c r="A55" s="55" t="s">
        <v>150</v>
      </c>
      <c r="B55" s="55" t="s">
        <v>151</v>
      </c>
      <c r="C55" s="55">
        <v>667.32</v>
      </c>
      <c r="D55" s="55">
        <v>0.94199999999999995</v>
      </c>
      <c r="E55" s="53">
        <v>708.42700000000002</v>
      </c>
      <c r="F55" s="53">
        <v>5</v>
      </c>
      <c r="G55" s="53">
        <v>0.2</v>
      </c>
      <c r="H55" s="53">
        <f t="shared" si="5"/>
        <v>2.2705993589743589</v>
      </c>
      <c r="I55" s="53">
        <f t="shared" si="6"/>
        <v>59.035583333333335</v>
      </c>
      <c r="J55" s="56">
        <f t="shared" si="7"/>
        <v>9.4217094298088131E-7</v>
      </c>
      <c r="K55" s="53">
        <f t="shared" si="8"/>
        <v>2.2705993589743589</v>
      </c>
      <c r="L55" s="53">
        <f t="shared" si="10"/>
        <v>2772.1445833333337</v>
      </c>
      <c r="M55" s="53"/>
    </row>
    <row r="56" spans="1:13" x14ac:dyDescent="0.25">
      <c r="A56" s="64" t="s">
        <v>152</v>
      </c>
      <c r="B56" s="64" t="s">
        <v>153</v>
      </c>
      <c r="C56" s="64">
        <v>72.430000000000007</v>
      </c>
      <c r="D56" s="64">
        <v>0.90500000000000003</v>
      </c>
      <c r="E56" s="63">
        <v>79.992999999999995</v>
      </c>
      <c r="F56" s="63">
        <v>5</v>
      </c>
      <c r="G56" s="63">
        <v>0.2</v>
      </c>
      <c r="H56" s="63">
        <f t="shared" si="5"/>
        <v>0.2563878205128205</v>
      </c>
      <c r="I56" s="63">
        <f t="shared" si="6"/>
        <v>6.6660833333333329</v>
      </c>
      <c r="J56" s="65">
        <f t="shared" si="7"/>
        <v>1.0638651581866534E-7</v>
      </c>
      <c r="K56" s="63">
        <f t="shared" si="8"/>
        <v>0.2563878205128205</v>
      </c>
      <c r="L56" s="63">
        <f t="shared" si="10"/>
        <v>2805.4750000000004</v>
      </c>
      <c r="M56" s="53"/>
    </row>
    <row r="57" spans="1:13" ht="15.75" thickBot="1" x14ac:dyDescent="0.3">
      <c r="J57" s="66" t="s">
        <v>114</v>
      </c>
      <c r="K57" s="66">
        <f>SUM(K30:K56)</f>
        <v>122.3506923076923</v>
      </c>
      <c r="L57" s="66">
        <f>SUM(L30:L56)</f>
        <v>52236.617041666665</v>
      </c>
    </row>
    <row r="58" spans="1:13" ht="15.75" thickTop="1" x14ac:dyDescent="0.25"/>
    <row r="63" spans="1:13" ht="18.75" x14ac:dyDescent="0.25">
      <c r="A63" s="80" t="s">
        <v>156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</row>
    <row r="64" spans="1:13" x14ac:dyDescent="0.25">
      <c r="A64" s="71" t="s">
        <v>154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ht="18.75" x14ac:dyDescent="0.25">
      <c r="A66" s="81" t="s">
        <v>106</v>
      </c>
      <c r="B66" s="82"/>
      <c r="C66" s="82"/>
      <c r="D66" s="83"/>
      <c r="E66" s="84" t="s">
        <v>107</v>
      </c>
      <c r="F66" s="85"/>
      <c r="G66" s="85"/>
      <c r="H66" s="85"/>
      <c r="I66" s="85"/>
      <c r="J66" s="85"/>
      <c r="K66" s="85"/>
      <c r="L66" s="86"/>
      <c r="M66" s="53"/>
    </row>
    <row r="67" spans="1:13" x14ac:dyDescent="0.25">
      <c r="A67" s="46" t="s">
        <v>117</v>
      </c>
      <c r="B67" s="47" t="s">
        <v>118</v>
      </c>
      <c r="C67" s="47" t="s">
        <v>119</v>
      </c>
      <c r="D67" s="48" t="s">
        <v>70</v>
      </c>
      <c r="E67" s="49" t="s">
        <v>105</v>
      </c>
      <c r="F67" s="50" t="s">
        <v>100</v>
      </c>
      <c r="G67" s="51" t="s">
        <v>101</v>
      </c>
      <c r="H67" s="52" t="s">
        <v>102</v>
      </c>
      <c r="I67" s="47" t="s">
        <v>103</v>
      </c>
      <c r="J67" s="53" t="s">
        <v>108</v>
      </c>
      <c r="K67" s="53" t="s">
        <v>109</v>
      </c>
      <c r="L67" s="53" t="s">
        <v>110</v>
      </c>
      <c r="M67" s="53"/>
    </row>
    <row r="68" spans="1:13" x14ac:dyDescent="0.25">
      <c r="A68" s="55" t="s">
        <v>76</v>
      </c>
      <c r="B68" s="55" t="s">
        <v>77</v>
      </c>
      <c r="C68" s="55">
        <v>26.61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1:13" x14ac:dyDescent="0.25">
      <c r="A69" s="55" t="s">
        <v>78</v>
      </c>
      <c r="B69" s="55" t="s">
        <v>157</v>
      </c>
      <c r="C69" s="55">
        <v>76.83</v>
      </c>
      <c r="D69" s="55">
        <v>0.86799999999999999</v>
      </c>
      <c r="E69" s="55">
        <v>88.489000000000004</v>
      </c>
      <c r="F69" s="53">
        <v>5</v>
      </c>
      <c r="G69" s="53">
        <v>0.2</v>
      </c>
      <c r="H69" s="53">
        <f>E69/(60*(F69+G69))</f>
        <v>0.28361858974358978</v>
      </c>
      <c r="I69" s="53">
        <f>E69/(60*G69)</f>
        <v>7.374083333333334</v>
      </c>
      <c r="J69" s="53">
        <f>I69/62659.1/1000</f>
        <v>1.1768575248181563E-7</v>
      </c>
      <c r="K69" s="53">
        <f>H69</f>
        <v>0.28361858974358978</v>
      </c>
      <c r="L69" s="53">
        <f>$I$20*5-5*I69</f>
        <v>2768.6045833333337</v>
      </c>
      <c r="M69" s="53"/>
    </row>
    <row r="70" spans="1:13" x14ac:dyDescent="0.25">
      <c r="A70" s="55" t="s">
        <v>80</v>
      </c>
      <c r="B70" s="55" t="s">
        <v>158</v>
      </c>
      <c r="C70" s="55">
        <v>-4.0999999999999996</v>
      </c>
      <c r="D70" s="55">
        <v>0.60699999999999998</v>
      </c>
      <c r="E70" s="55">
        <v>0</v>
      </c>
      <c r="F70" s="53">
        <v>5</v>
      </c>
      <c r="G70" s="53">
        <v>0.2</v>
      </c>
      <c r="H70" s="53">
        <f t="shared" ref="H70:H72" si="11">E70/(60*(F70+G70))</f>
        <v>0</v>
      </c>
      <c r="I70" s="53">
        <f t="shared" ref="I70:I72" si="12">E70/(60*G70)</f>
        <v>0</v>
      </c>
      <c r="J70" s="53">
        <f t="shared" ref="J70:J72" si="13">I70/62659.1/1000</f>
        <v>0</v>
      </c>
      <c r="K70" s="53">
        <f t="shared" ref="K70:K72" si="14">H70</f>
        <v>0</v>
      </c>
      <c r="L70" s="53">
        <f t="shared" ref="L70:L72" si="15">$I$20*5-5*I70</f>
        <v>2805.4750000000004</v>
      </c>
      <c r="M70" s="53"/>
    </row>
    <row r="71" spans="1:13" x14ac:dyDescent="0.25">
      <c r="A71" s="55" t="s">
        <v>82</v>
      </c>
      <c r="B71" s="55" t="s">
        <v>147</v>
      </c>
      <c r="C71" s="55">
        <v>115.36</v>
      </c>
      <c r="D71" s="55">
        <v>0.88700000000000001</v>
      </c>
      <c r="E71" s="55">
        <v>130.11799999999999</v>
      </c>
      <c r="F71" s="53">
        <v>5</v>
      </c>
      <c r="G71" s="53">
        <v>0.2</v>
      </c>
      <c r="H71" s="53">
        <f t="shared" si="11"/>
        <v>0.41704487179487176</v>
      </c>
      <c r="I71" s="53">
        <f t="shared" si="12"/>
        <v>10.843166666666667</v>
      </c>
      <c r="J71" s="53">
        <f t="shared" si="13"/>
        <v>1.7305015020430659E-7</v>
      </c>
      <c r="K71" s="53">
        <f t="shared" si="14"/>
        <v>0.41704487179487176</v>
      </c>
      <c r="L71" s="53">
        <f t="shared" si="15"/>
        <v>2751.2591666666672</v>
      </c>
      <c r="M71" s="53"/>
    </row>
    <row r="72" spans="1:13" x14ac:dyDescent="0.25">
      <c r="A72" s="55" t="s">
        <v>84</v>
      </c>
      <c r="B72" s="55" t="s">
        <v>149</v>
      </c>
      <c r="C72" s="55">
        <v>75.23</v>
      </c>
      <c r="D72" s="55">
        <v>0.88</v>
      </c>
      <c r="E72" s="55">
        <v>85.533000000000001</v>
      </c>
      <c r="F72" s="53">
        <v>5</v>
      </c>
      <c r="G72" s="53">
        <v>0.2</v>
      </c>
      <c r="H72" s="53">
        <f t="shared" si="11"/>
        <v>0.27414423076923078</v>
      </c>
      <c r="I72" s="53">
        <f t="shared" si="12"/>
        <v>7.1277499999999998</v>
      </c>
      <c r="J72" s="53">
        <f t="shared" si="13"/>
        <v>1.1375442673131277E-7</v>
      </c>
      <c r="K72" s="53">
        <f t="shared" si="14"/>
        <v>0.27414423076923078</v>
      </c>
      <c r="L72" s="53">
        <f t="shared" si="15"/>
        <v>2769.8362500000003</v>
      </c>
      <c r="M72" s="53"/>
    </row>
    <row r="73" spans="1:13" ht="15.75" thickBot="1" x14ac:dyDescent="0.3">
      <c r="F73" s="53"/>
      <c r="G73" s="53"/>
      <c r="H73" s="53"/>
      <c r="I73" s="53"/>
      <c r="J73" s="66" t="s">
        <v>114</v>
      </c>
      <c r="K73" s="66">
        <f>SUM(K69:K72)</f>
        <v>0.97480769230769226</v>
      </c>
      <c r="L73" s="66">
        <f>SUM(L69:L72)</f>
        <v>11095.175000000001</v>
      </c>
      <c r="M73" s="53"/>
    </row>
    <row r="74" spans="1:13" ht="15.75" thickTop="1" x14ac:dyDescent="0.25"/>
  </sheetData>
  <mergeCells count="12">
    <mergeCell ref="A27:D27"/>
    <mergeCell ref="E27:L27"/>
    <mergeCell ref="A63:M63"/>
    <mergeCell ref="A64:M65"/>
    <mergeCell ref="A66:D66"/>
    <mergeCell ref="E66:L66"/>
    <mergeCell ref="A25:M26"/>
    <mergeCell ref="A4:D4"/>
    <mergeCell ref="E4:L4"/>
    <mergeCell ref="A2:M3"/>
    <mergeCell ref="A1:M1"/>
    <mergeCell ref="A24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1B58-D6D1-47F6-BAFC-DD0D0B5E406E}">
  <dimension ref="A1:K19"/>
  <sheetViews>
    <sheetView workbookViewId="0">
      <selection activeCell="E3" sqref="E3:E13"/>
    </sheetView>
    <sheetView tabSelected="1" workbookViewId="1"/>
  </sheetViews>
  <sheetFormatPr defaultRowHeight="15" x14ac:dyDescent="0.25"/>
  <cols>
    <col min="2" max="2" width="17" bestFit="1" customWidth="1"/>
    <col min="6" max="6" width="13.42578125" bestFit="1" customWidth="1"/>
    <col min="7" max="7" width="13.7109375" customWidth="1"/>
    <col min="8" max="8" width="10.7109375" customWidth="1"/>
    <col min="9" max="9" width="13.42578125" customWidth="1"/>
    <col min="10" max="10" width="12.42578125" customWidth="1"/>
    <col min="11" max="11" width="11.28515625" customWidth="1"/>
  </cols>
  <sheetData>
    <row r="1" spans="1:9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</row>
    <row r="2" spans="1:9" x14ac:dyDescent="0.25">
      <c r="A2" t="s">
        <v>76</v>
      </c>
      <c r="B2" t="s">
        <v>77</v>
      </c>
      <c r="C2">
        <v>68.34</v>
      </c>
      <c r="G2">
        <v>7.6529999999999996</v>
      </c>
      <c r="H2">
        <v>4.0389999999999997</v>
      </c>
      <c r="I2">
        <v>0.27800000000000002</v>
      </c>
    </row>
    <row r="3" spans="1:9" x14ac:dyDescent="0.25">
      <c r="A3" t="s">
        <v>78</v>
      </c>
      <c r="B3" t="s">
        <v>79</v>
      </c>
      <c r="C3">
        <v>65636.100000000006</v>
      </c>
      <c r="D3">
        <v>0.97499999999999998</v>
      </c>
      <c r="E3">
        <v>67331.399999999994</v>
      </c>
      <c r="F3">
        <v>1122.19</v>
      </c>
      <c r="G3">
        <v>0.252</v>
      </c>
      <c r="H3">
        <v>1.9E-2</v>
      </c>
      <c r="I3">
        <v>0.97199999999999998</v>
      </c>
    </row>
    <row r="4" spans="1:9" x14ac:dyDescent="0.25">
      <c r="A4" t="s">
        <v>80</v>
      </c>
      <c r="B4" t="s">
        <v>81</v>
      </c>
      <c r="C4">
        <v>7069.88</v>
      </c>
      <c r="D4">
        <v>0.97499999999999998</v>
      </c>
      <c r="E4">
        <v>7250.55</v>
      </c>
      <c r="F4">
        <v>120.842</v>
      </c>
      <c r="G4">
        <v>0.751</v>
      </c>
      <c r="H4">
        <v>7.2999999999999995E-2</v>
      </c>
      <c r="I4">
        <v>0.97199999999999998</v>
      </c>
    </row>
    <row r="5" spans="1:9" x14ac:dyDescent="0.25">
      <c r="A5" t="s">
        <v>82</v>
      </c>
      <c r="B5" t="s">
        <v>83</v>
      </c>
      <c r="C5">
        <v>7887.32</v>
      </c>
      <c r="D5">
        <v>0.97699999999999998</v>
      </c>
      <c r="E5">
        <v>8075.9</v>
      </c>
      <c r="F5">
        <v>134.59800000000001</v>
      </c>
      <c r="G5">
        <v>0.71099999999999997</v>
      </c>
      <c r="H5">
        <v>6.9000000000000006E-2</v>
      </c>
      <c r="I5">
        <v>0.97399999999999998</v>
      </c>
    </row>
    <row r="6" spans="1:9" x14ac:dyDescent="0.25">
      <c r="A6" t="s">
        <v>84</v>
      </c>
      <c r="B6" t="s">
        <v>85</v>
      </c>
      <c r="C6">
        <v>-17.61</v>
      </c>
      <c r="D6">
        <v>0.80200000000000005</v>
      </c>
      <c r="E6">
        <v>0</v>
      </c>
      <c r="F6">
        <v>0</v>
      </c>
      <c r="G6">
        <v>8.8819999999999997</v>
      </c>
      <c r="H6">
        <v>6.6630000000000003</v>
      </c>
      <c r="I6">
        <v>0.75700000000000001</v>
      </c>
    </row>
    <row r="7" spans="1:9" x14ac:dyDescent="0.25">
      <c r="A7" t="s">
        <v>86</v>
      </c>
      <c r="B7" t="s">
        <v>87</v>
      </c>
      <c r="C7">
        <v>1760.91</v>
      </c>
      <c r="D7">
        <v>0.97</v>
      </c>
      <c r="E7">
        <v>1814.95</v>
      </c>
      <c r="F7">
        <v>30.248999999999999</v>
      </c>
      <c r="G7">
        <v>1.48</v>
      </c>
      <c r="H7">
        <v>0.20200000000000001</v>
      </c>
      <c r="I7">
        <v>0.96599999999999997</v>
      </c>
    </row>
    <row r="8" spans="1:9" x14ac:dyDescent="0.25">
      <c r="A8" t="s">
        <v>88</v>
      </c>
      <c r="B8" t="s">
        <v>89</v>
      </c>
      <c r="C8">
        <v>93.14</v>
      </c>
      <c r="D8">
        <v>0.88600000000000001</v>
      </c>
      <c r="E8">
        <v>105.15</v>
      </c>
      <c r="F8">
        <v>1.7529999999999999</v>
      </c>
      <c r="G8">
        <v>4.9779999999999998</v>
      </c>
      <c r="H8">
        <v>1.3</v>
      </c>
      <c r="I8">
        <v>0.86399999999999999</v>
      </c>
    </row>
    <row r="9" spans="1:9" x14ac:dyDescent="0.25">
      <c r="A9" t="s">
        <v>90</v>
      </c>
      <c r="B9" t="s">
        <v>91</v>
      </c>
      <c r="C9">
        <v>425.42</v>
      </c>
      <c r="D9">
        <v>0.9</v>
      </c>
      <c r="E9">
        <v>472.84800000000001</v>
      </c>
      <c r="F9">
        <v>7.8810000000000002</v>
      </c>
      <c r="G9">
        <v>2.847</v>
      </c>
      <c r="H9">
        <v>0.40100000000000002</v>
      </c>
      <c r="I9">
        <v>0.88200000000000001</v>
      </c>
    </row>
    <row r="10" spans="1:9" x14ac:dyDescent="0.25">
      <c r="A10" t="s">
        <v>92</v>
      </c>
      <c r="B10" t="s">
        <v>93</v>
      </c>
      <c r="C10">
        <v>64.61</v>
      </c>
      <c r="D10">
        <v>0.91800000000000004</v>
      </c>
      <c r="E10">
        <v>70.412000000000006</v>
      </c>
      <c r="F10">
        <v>1.1739999999999999</v>
      </c>
      <c r="G10">
        <v>5.4859999999999998</v>
      </c>
      <c r="H10">
        <v>1.1659999999999999</v>
      </c>
      <c r="I10">
        <v>0.90400000000000003</v>
      </c>
    </row>
    <row r="11" spans="1:9" x14ac:dyDescent="0.25">
      <c r="A11" t="s">
        <v>94</v>
      </c>
      <c r="B11" t="s">
        <v>95</v>
      </c>
      <c r="C11">
        <v>-38.33</v>
      </c>
      <c r="D11">
        <v>0.79100000000000004</v>
      </c>
      <c r="E11">
        <v>0</v>
      </c>
      <c r="F11">
        <v>0</v>
      </c>
      <c r="G11">
        <v>11.547000000000001</v>
      </c>
      <c r="H11">
        <v>4.5650000000000004</v>
      </c>
      <c r="I11">
        <v>0.74299999999999999</v>
      </c>
    </row>
    <row r="12" spans="1:9" x14ac:dyDescent="0.25">
      <c r="A12" t="s">
        <v>96</v>
      </c>
      <c r="B12" t="s">
        <v>97</v>
      </c>
      <c r="C12">
        <v>205.38</v>
      </c>
      <c r="D12">
        <v>0.93</v>
      </c>
      <c r="E12">
        <v>220.94399999999999</v>
      </c>
      <c r="F12">
        <v>3.6819999999999999</v>
      </c>
      <c r="G12">
        <v>3.8239999999999998</v>
      </c>
      <c r="H12">
        <v>0.47499999999999998</v>
      </c>
      <c r="I12">
        <v>0.91800000000000004</v>
      </c>
    </row>
    <row r="13" spans="1:9" x14ac:dyDescent="0.25">
      <c r="A13" t="s">
        <v>98</v>
      </c>
      <c r="B13" t="s">
        <v>99</v>
      </c>
      <c r="C13">
        <v>-30.53</v>
      </c>
      <c r="D13">
        <v>0.78200000000000003</v>
      </c>
      <c r="E13">
        <v>0</v>
      </c>
      <c r="F13">
        <v>0</v>
      </c>
      <c r="G13">
        <v>10.287000000000001</v>
      </c>
      <c r="H13">
        <v>2.9089999999999998</v>
      </c>
      <c r="I13">
        <v>0.73299999999999998</v>
      </c>
    </row>
    <row r="18" spans="2:11" x14ac:dyDescent="0.25">
      <c r="B18" s="40" t="s">
        <v>68</v>
      </c>
      <c r="C18" s="40" t="s">
        <v>69</v>
      </c>
      <c r="D18" s="40" t="s">
        <v>70</v>
      </c>
      <c r="E18" s="40" t="s">
        <v>71</v>
      </c>
      <c r="F18" s="39" t="s">
        <v>100</v>
      </c>
      <c r="G18" s="41" t="s">
        <v>101</v>
      </c>
      <c r="H18" s="42" t="s">
        <v>102</v>
      </c>
      <c r="I18" s="43" t="s">
        <v>103</v>
      </c>
      <c r="J18" s="44" t="s">
        <v>104</v>
      </c>
      <c r="K18" s="44" t="s">
        <v>104</v>
      </c>
    </row>
    <row r="19" spans="2:11" x14ac:dyDescent="0.25">
      <c r="B19" s="40" t="s">
        <v>79</v>
      </c>
      <c r="C19" s="40">
        <v>65636.100000000006</v>
      </c>
      <c r="D19" s="40">
        <v>0.97499999999999998</v>
      </c>
      <c r="E19" s="40">
        <v>67331.399999999994</v>
      </c>
      <c r="F19">
        <v>5</v>
      </c>
      <c r="G19">
        <v>0.2</v>
      </c>
      <c r="H19">
        <f>E19/(60*(F19+G19))</f>
        <v>215.80576923076922</v>
      </c>
      <c r="I19">
        <f>E19/(60*G19)</f>
        <v>5610.95</v>
      </c>
      <c r="J19" s="11">
        <f>I19/62659.1</f>
        <v>8.9547248524156908E-2</v>
      </c>
      <c r="K19" s="45">
        <f>J19/1000</f>
        <v>8.9547248524156903E-5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FD9A-1102-412F-AB97-0E1252FE4841}">
  <dimension ref="A5:L25"/>
  <sheetViews>
    <sheetView workbookViewId="0">
      <selection activeCell="H6" sqref="H6:L6"/>
    </sheetView>
    <sheetView workbookViewId="1"/>
  </sheetViews>
  <sheetFormatPr defaultRowHeight="15" x14ac:dyDescent="0.25"/>
  <cols>
    <col min="1" max="1" width="11.5703125" customWidth="1"/>
    <col min="2" max="2" width="12" customWidth="1"/>
    <col min="3" max="3" width="9.140625" customWidth="1"/>
    <col min="4" max="4" width="11.42578125" customWidth="1"/>
    <col min="5" max="5" width="9.5703125" bestFit="1" customWidth="1"/>
  </cols>
  <sheetData>
    <row r="5" spans="1:12" ht="15.75" thickBot="1" x14ac:dyDescent="0.3"/>
    <row r="6" spans="1:12" ht="18.75" thickBot="1" x14ac:dyDescent="0.4">
      <c r="A6" s="87" t="s">
        <v>68</v>
      </c>
      <c r="B6" s="87" t="s">
        <v>159</v>
      </c>
      <c r="C6" s="87" t="s">
        <v>160</v>
      </c>
      <c r="D6" s="87" t="s">
        <v>161</v>
      </c>
      <c r="E6" s="34" t="s">
        <v>64</v>
      </c>
      <c r="F6" s="89" t="s">
        <v>162</v>
      </c>
      <c r="G6" s="89" t="s">
        <v>163</v>
      </c>
      <c r="H6" t="s">
        <v>160</v>
      </c>
      <c r="I6" t="s">
        <v>161</v>
      </c>
      <c r="J6" t="s">
        <v>164</v>
      </c>
      <c r="K6" t="s">
        <v>162</v>
      </c>
      <c r="L6" t="s">
        <v>163</v>
      </c>
    </row>
    <row r="7" spans="1:12" x14ac:dyDescent="0.25">
      <c r="A7" s="88" t="s">
        <v>44</v>
      </c>
      <c r="B7" s="88">
        <v>3</v>
      </c>
      <c r="C7">
        <v>0.5</v>
      </c>
    </row>
    <row r="8" spans="1:12" x14ac:dyDescent="0.25">
      <c r="A8" s="88" t="s">
        <v>45</v>
      </c>
      <c r="B8" s="88">
        <v>3</v>
      </c>
    </row>
    <row r="9" spans="1:12" x14ac:dyDescent="0.25">
      <c r="A9" s="88" t="s">
        <v>55</v>
      </c>
      <c r="B9" s="88">
        <v>4</v>
      </c>
    </row>
    <row r="10" spans="1:12" x14ac:dyDescent="0.25">
      <c r="A10" s="88" t="s">
        <v>46</v>
      </c>
      <c r="B10" s="88">
        <v>4</v>
      </c>
    </row>
    <row r="11" spans="1:12" x14ac:dyDescent="0.25">
      <c r="A11" s="88" t="s">
        <v>56</v>
      </c>
      <c r="B11" s="88">
        <v>5</v>
      </c>
    </row>
    <row r="12" spans="1:12" x14ac:dyDescent="0.25">
      <c r="A12" s="88" t="s">
        <v>57</v>
      </c>
      <c r="B12" s="88">
        <v>6</v>
      </c>
    </row>
    <row r="13" spans="1:12" x14ac:dyDescent="0.25">
      <c r="A13" s="88" t="s">
        <v>48</v>
      </c>
      <c r="B13" s="88">
        <v>6</v>
      </c>
    </row>
    <row r="14" spans="1:12" x14ac:dyDescent="0.25">
      <c r="A14" s="88" t="s">
        <v>58</v>
      </c>
      <c r="B14" s="88">
        <v>7</v>
      </c>
    </row>
    <row r="15" spans="1:12" x14ac:dyDescent="0.25">
      <c r="A15" s="88" t="s">
        <v>49</v>
      </c>
      <c r="B15" s="88">
        <v>7</v>
      </c>
    </row>
    <row r="16" spans="1:12" x14ac:dyDescent="0.25">
      <c r="A16" s="88" t="s">
        <v>59</v>
      </c>
      <c r="B16" s="88">
        <v>8</v>
      </c>
    </row>
    <row r="17" spans="1:2" x14ac:dyDescent="0.25">
      <c r="A17" s="88" t="s">
        <v>50</v>
      </c>
      <c r="B17" s="88">
        <v>8</v>
      </c>
    </row>
    <row r="18" spans="1:2" x14ac:dyDescent="0.25">
      <c r="A18" s="88" t="s">
        <v>60</v>
      </c>
      <c r="B18" s="88">
        <v>9</v>
      </c>
    </row>
    <row r="19" spans="1:2" x14ac:dyDescent="0.25">
      <c r="A19" s="88" t="s">
        <v>51</v>
      </c>
      <c r="B19" s="88">
        <v>9</v>
      </c>
    </row>
    <row r="20" spans="1:2" x14ac:dyDescent="0.25">
      <c r="A20" s="88" t="s">
        <v>61</v>
      </c>
      <c r="B20" s="88">
        <v>10</v>
      </c>
    </row>
    <row r="21" spans="1:2" x14ac:dyDescent="0.25">
      <c r="A21" s="88" t="s">
        <v>52</v>
      </c>
      <c r="B21" s="88">
        <v>10</v>
      </c>
    </row>
    <row r="22" spans="1:2" x14ac:dyDescent="0.25">
      <c r="A22" s="88" t="s">
        <v>62</v>
      </c>
      <c r="B22" s="88">
        <v>11</v>
      </c>
    </row>
    <row r="23" spans="1:2" x14ac:dyDescent="0.25">
      <c r="A23" s="88" t="s">
        <v>53</v>
      </c>
      <c r="B23" s="88">
        <v>11</v>
      </c>
    </row>
    <row r="24" spans="1:2" x14ac:dyDescent="0.25">
      <c r="A24" s="88" t="s">
        <v>63</v>
      </c>
      <c r="B24" s="88">
        <v>12</v>
      </c>
    </row>
    <row r="25" spans="1:2" x14ac:dyDescent="0.25">
      <c r="A25" s="88" t="s">
        <v>54</v>
      </c>
      <c r="B25" s="88">
        <v>12</v>
      </c>
    </row>
  </sheetData>
  <pageMargins left="0.7" right="0.7" top="0.75" bottom="0.75" header="0.3" footer="0.3"/>
  <pageSetup paperSize="4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</vt:lpstr>
      <vt:lpstr>LSC data</vt:lpstr>
      <vt:lpstr>LSC raw data</vt:lpstr>
      <vt:lpstr>LSC + pH combined</vt:lpstr>
    </vt:vector>
  </TitlesOfParts>
  <Company>HZDR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Salkenova, Zarina (FWOG) - 179443</dc:creator>
  <cp:lastModifiedBy>Salkenova, Zarina (FWOG) - 179443</cp:lastModifiedBy>
  <cp:lastPrinted>2026-03-03T15:01:42Z</cp:lastPrinted>
  <dcterms:created xsi:type="dcterms:W3CDTF">2026-03-03T10:46:16Z</dcterms:created>
  <dcterms:modified xsi:type="dcterms:W3CDTF">2026-03-14T09:50:59Z</dcterms:modified>
</cp:coreProperties>
</file>